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NM\NMR\NMM_Jankowski\Gas\Gasnetzbetreibernummern\"/>
    </mc:Choice>
  </mc:AlternateContent>
  <bookViews>
    <workbookView xWindow="-105" yWindow="-105" windowWidth="19425" windowHeight="10425" tabRatio="789" activeTab="7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7" l="1"/>
  <c r="E6" i="17"/>
  <c r="E4" i="1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X12" i="7" l="1"/>
  <c r="X13" i="7"/>
  <c r="X11" i="7"/>
  <c r="X15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M12" i="7"/>
  <c r="I12" i="7"/>
  <c r="N11" i="7"/>
  <c r="L11" i="7"/>
  <c r="H11" i="7"/>
  <c r="I13" i="7"/>
  <c r="L14" i="7"/>
  <c r="K15" i="7"/>
  <c r="O12" i="7"/>
  <c r="P11" i="7"/>
  <c r="N13" i="7"/>
  <c r="I14" i="7"/>
  <c r="H15" i="7"/>
  <c r="P15" i="7"/>
  <c r="P12" i="7"/>
  <c r="M11" i="7"/>
  <c r="H13" i="7"/>
  <c r="L13" i="7"/>
  <c r="P13" i="7"/>
  <c r="K14" i="7"/>
  <c r="O14" i="7"/>
  <c r="J15" i="7"/>
  <c r="N15" i="7"/>
  <c r="N12" i="7"/>
  <c r="J12" i="7"/>
  <c r="O11" i="7"/>
  <c r="J11" i="7"/>
  <c r="M13" i="7"/>
  <c r="H14" i="7"/>
  <c r="P14" i="7"/>
  <c r="O15" i="7"/>
  <c r="K12" i="7"/>
  <c r="K11" i="7"/>
  <c r="J13" i="7"/>
  <c r="M14" i="7"/>
  <c r="L15" i="7"/>
  <c r="L12" i="7"/>
  <c r="H12" i="7"/>
  <c r="I11" i="7"/>
  <c r="F15" i="7"/>
  <c r="F12" i="7"/>
  <c r="F14" i="7"/>
  <c r="F13" i="7"/>
  <c r="F11" i="7"/>
  <c r="M8" i="4"/>
  <c r="M7" i="4"/>
  <c r="C5" i="1"/>
  <c r="D6" i="15"/>
  <c r="D6" i="7"/>
  <c r="Q13" i="7" l="1"/>
  <c r="Q15" i="7"/>
  <c r="Q11" i="7"/>
  <c r="Q12" i="7"/>
  <c r="Q1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<sst xmlns="http://schemas.openxmlformats.org/spreadsheetml/2006/main" count="1374" uniqueCount="670">
  <si>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</si>
  <si>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</si>
  <si>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</si>
  <si>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</si>
  <si>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</si>
  <si>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</si>
  <si>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</si>
  <si>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</si>
  <si>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</si>
  <si>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</si>
  <si>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</si>
  <si>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</si>
  <si>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</si>
  <si>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</si>
  <si>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</si>
  <si>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</si>
  <si>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</si>
  <si>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</si>
  <si>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</si>
  <si>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</si>
  <si>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</si>
  <si>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</si>
  <si>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</si>
  <si>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</si>
  <si>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</si>
  <si>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</si>
  <si>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</si>
  <si>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</si>
  <si>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</si>
  <si>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</si>
  <si>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</si>
  <si>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</si>
  <si>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</si>
  <si>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</si>
  <si>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</si>
  <si>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</si>
  <si>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</si>
  <si>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</si>
  <si>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</si>
  <si>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</si>
  <si>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</si>
  <si>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</si>
  <si>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</si>
  <si>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</si>
  <si>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</si>
  <si>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</si>
  <si>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</si>
  <si>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</si>
  <si>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</si>
  <si>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</si>
  <si>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</si>
  <si>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</si>
  <si>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</si>
  <si>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</si>
  <si>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</si>
  <si>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</si>
  <si>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</si>
  <si>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</si>
  <si>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</si>
  <si>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</si>
  <si>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</si>
  <si>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</si>
  <si>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</si>
  <si>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</si>
  <si>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</si>
  <si>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</si>
  <si>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</si>
  <si>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</si>
  <si>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</si>
  <si>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</si>
  <si>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</si>
  <si>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</si>
  <si>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</si>
  <si>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</si>
  <si>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</si>
  <si>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</si>
  <si>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</si>
  <si>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</si>
  <si>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</si>
  <si>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</si>
  <si>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</si>
  <si>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</si>
  <si>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</si>
  <si>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</si>
  <si>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</si>
  <si>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</si>
  <si>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</si>
  <si>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</si>
  <si>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</si>
  <si>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</si>
  <si>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</si>
  <si>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</si>
  <si>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</si>
  <si>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</si>
  <si>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</si>
  <si>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</si>
  <si>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</si>
  <si>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</si>
  <si>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</si>
  <si>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</si>
  <si>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</si>
  <si>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</si>
  <si>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</si>
  <si>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</si>
  <si>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</si>
  <si>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</si>
  <si>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</si>
  <si>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</si>
  <si>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</si>
  <si>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</si>
  <si>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</si>
  <si>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</si>
  <si>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</si>
  <si>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</si>
  <si>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</si>
  <si>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</si>
  <si>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</si>
  <si>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</si>
  <si>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</si>
  <si>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</si>
  <si>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</si>
  <si>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</si>
  <si>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</si>
  <si>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</si>
  <si>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</si>
  <si>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</si>
  <si>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</si>
  <si>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</si>
  <si>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</si>
  <si>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</si>
  <si>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</si>
  <si>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</si>
  <si>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</si>
  <si>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</si>
  <si>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</si>
  <si>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</si>
  <si>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</si>
  <si>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</si>
  <si>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</si>
  <si>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</si>
  <si>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</si>
  <si>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</si>
  <si>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</si>
  <si>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</si>
  <si>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</si>
  <si>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</si>
  <si>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</si>
  <si>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</si>
  <si>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</si>
  <si>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</si>
  <si>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</si>
  <si>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</si>
  <si>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</si>
  <si>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</si>
  <si>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</si>
  <si>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</si>
  <si>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</si>
  <si>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</si>
  <si>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</si>
  <si>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</si>
  <si>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</si>
  <si>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</si>
  <si>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</si>
  <si>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</si>
  <si>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</si>
  <si>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</si>
  <si>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</si>
  <si>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</si>
  <si>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</si>
  <si>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</si>
  <si>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</si>
  <si>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</si>
  <si>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</si>
  <si>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</si>
  <si>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</si>
  <si>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</si>
  <si>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</si>
  <si>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</si>
  <si>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</si>
  <si>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</si>
  <si>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</si>
  <si>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</si>
  <si>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</si>
  <si>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</si>
  <si>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</si>
  <si>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</si>
  <si>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</si>
  <si>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</si>
  <si>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</si>
  <si>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</si>
  <si>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</si>
  <si>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</si>
  <si>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</si>
  <si>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</si>
  <si>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</si>
  <si>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</si>
  <si>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</si>
  <si>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</si>
  <si>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</si>
  <si>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</si>
  <si>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</si>
  <si>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</si>
  <si>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</si>
  <si>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</si>
  <si>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</si>
  <si>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</si>
  <si>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</si>
  <si>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</si>
  <si>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</si>
  <si>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</si>
  <si>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</si>
  <si>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</si>
  <si>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</si>
  <si>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</si>
  <si>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</si>
  <si>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</si>
  <si>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</si>
  <si>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</si>
  <si>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</si>
  <si>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</si>
  <si>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</si>
  <si>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</si>
  <si>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</si>
  <si>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</si>
  <si>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</si>
  <si>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</si>
  <si>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</si>
  <si>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</si>
  <si>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</si>
  <si>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</si>
  <si>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</si>
  <si>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</si>
  <si>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</si>
  <si>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</si>
  <si>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</si>
  <si>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</si>
  <si>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</si>
  <si>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</si>
  <si>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</si>
  <si>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</si>
  <si>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</si>
  <si>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</si>
  <si>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</si>
  <si>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</si>
  <si>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</si>
  <si>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</si>
  <si>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</si>
  <si>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</si>
  <si>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</si>
  <si>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</si>
  <si>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</si>
  <si>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</si>
  <si>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</si>
  <si>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</si>
  <si>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</si>
  <si>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</si>
  <si>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</si>
  <si>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</si>
  <si>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</si>
  <si>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</si>
  <si>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</si>
  <si>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</si>
  <si>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</si>
  <si>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</si>
  <si>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</si>
  <si>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</si>
  <si>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</si>
  <si>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</si>
  <si>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</si>
  <si>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</si>
  <si>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</si>
  <si>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</si>
  <si>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</si>
  <si>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</si>
  <si>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</si>
  <si>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</si>
  <si>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</si>
  <si>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</si>
  <si>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</si>
  <si>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</si>
  <si>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</si>
  <si>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</si>
  <si>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</si>
  <si>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</si>
  <si>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</si>
  <si>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</si>
  <si>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</si>
  <si>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</si>
  <si>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</si>
  <si>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</si>
  <si>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</si>
  <si>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</si>
  <si>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</si>
  <si>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</si>
  <si>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</si>
  <si>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</si>
  <si>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</si>
  <si>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</si>
  <si>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</si>
  <si>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</si>
  <si>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</si>
  <si>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</si>
  <si>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</si>
  <si>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</si>
  <si>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</si>
  <si>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</si>
  <si>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</si>
  <si>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</si>
  <si>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</si>
  <si>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</si>
  <si>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</si>
  <si>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</si>
  <si>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</si>
  <si>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</si>
  <si>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</si>
  <si>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</si>
  <si>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</si>
  <si>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</si>
  <si>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</si>
  <si>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</si>
  <si>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</si>
  <si>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</si>
  <si>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</si>
  <si>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</si>
  <si>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</si>
  <si>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</si>
  <si>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</si>
  <si>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</si>
  <si>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</si>
  <si>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</si>
  <si>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</si>
  <si>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</si>
  <si>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</si>
  <si>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</si>
  <si>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</si>
  <si>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</si>
  <si>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</si>
  <si>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</si>
  <si>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</si>
  <si>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</si>
  <si>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</si>
  <si>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</si>
  <si>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</si>
  <si>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</si>
  <si>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</si>
  <si>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</si>
  <si>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</si>
  <si>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</si>
  <si>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</si>
  <si>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</si>
  <si>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</si>
  <si>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</si>
  <si>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</si>
  <si>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</si>
  <si>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</si>
  <si>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</si>
  <si>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</si>
  <si>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</si>
  <si>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</si>
  <si>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</si>
  <si>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</si>
  <si>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</si>
  <si>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</si>
  <si>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</si>
  <si>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</si>
  <si>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</si>
  <si>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</si>
  <si>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</si>
  <si>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</si>
  <si>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</si>
  <si>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</si>
  <si>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</si>
  <si>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</si>
  <si>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</si>
  <si>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</si>
  <si>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</si>
  <si>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</si>
  <si>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</si>
  <si>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</si>
  <si>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</si>
  <si>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</si>
  <si>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</si>
  <si>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</si>
  <si>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</si>
  <si>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</si>
  <si>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</si>
  <si>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</si>
  <si>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</si>
  <si>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</si>
  <si>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</si>
  <si>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</si>
  <si>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</si>
  <si>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</si>
  <si>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</si>
  <si>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</si>
  <si>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</si>
  <si>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</si>
  <si>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</si>
  <si>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</si>
  <si>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</si>
  <si>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</si>
  <si>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</si>
  <si>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</si>
  <si>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</si>
  <si>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</si>
  <si>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</si>
  <si>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</si>
  <si>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</si>
  <si>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</si>
  <si>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</si>
  <si>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</si>
  <si>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</si>
  <si>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</si>
  <si>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</si>
  <si>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</si>
  <si>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</si>
  <si>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</si>
  <si>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</si>
  <si>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</si>
  <si>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</si>
  <si>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</si>
  <si>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</si>
  <si>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</si>
  <si>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</si>
  <si>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</si>
  <si>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</si>
  <si>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</si>
  <si>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</si>
  <si>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</si>
  <si>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</si>
  <si>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</si>
  <si>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</si>
  <si>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</si>
  <si>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</si>
  <si>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</si>
  <si>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</si>
  <si>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</si>
  <si>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</si>
  <si>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</si>
  <si>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</si>
  <si>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</si>
  <si>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</si>
  <si>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</si>
  <si>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</si>
  <si>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</si>
  <si>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</si>
  <si>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</si>
  <si>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</si>
  <si>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</si>
  <si>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</si>
  <si>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</si>
  <si>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</si>
  <si>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</si>
  <si>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</si>
  <si>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</si>
  <si>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</si>
  <si>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</si>
  <si>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</si>
  <si>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</si>
  <si>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</si>
  <si>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</si>
  <si>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</si>
  <si>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</si>
  <si>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</si>
  <si>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</si>
  <si>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</si>
  <si>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</si>
  <si>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</si>
  <si>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</si>
  <si>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</si>
  <si>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</si>
  <si>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</si>
  <si>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</si>
  <si>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</si>
  <si>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</si>
  <si>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</si>
  <si>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</si>
  <si>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</si>
  <si>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</si>
  <si>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</si>
  <si>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</si>
  <si>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</si>
  <si>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</si>
  <si>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</si>
  <si>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</si>
  <si>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</si>
  <si>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</si>
  <si>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</si>
  <si>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</si>
  <si>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</si>
  <si>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</si>
  <si>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</si>
  <si>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</si>
  <si>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</si>
  <si>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</si>
  <si>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</si>
  <si>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</si>
  <si>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</si>
  <si>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</si>
  <si>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</si>
  <si>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</si>
  <si>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</si>
  <si>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</si>
  <si>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</si>
  <si>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</si>
  <si>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</si>
  <si>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</si>
  <si>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</si>
  <si>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</si>
  <si>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</si>
  <si>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</si>
  <si>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</si>
  <si>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</si>
  <si>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</si>
  <si>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</si>
  <si>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</si>
  <si>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</si>
  <si>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</si>
  <si>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</si>
  <si>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</si>
  <si>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</si>
  <si>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</si>
  <si>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</si>
  <si>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</si>
  <si>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</si>
  <si>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</si>
  <si>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</si>
  <si>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</si>
  <si>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</si>
  <si>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</si>
  <si>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</si>
  <si>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</si>
  <si>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</si>
  <si>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</si>
  <si>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</si>
  <si>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</si>
  <si>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</si>
  <si>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</si>
  <si>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</si>
  <si>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</si>
  <si>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</si>
  <si>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</si>
  <si>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</si>
  <si>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</si>
  <si>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</si>
  <si>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</si>
  <si>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</si>
  <si>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</si>
  <si>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</si>
  <si>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</si>
  <si>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</si>
  <si>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</si>
  <si>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</si>
  <si>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</si>
  <si>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</si>
  <si>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</si>
  <si>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</si>
  <si>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</si>
  <si>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</si>
  <si>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</si>
  <si>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</si>
  <si>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</si>
  <si>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</si>
  <si>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</si>
  <si>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</si>
  <si>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</si>
  <si>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</si>
  <si>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</si>
  <si>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</si>
  <si>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</si>
  <si>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</si>
  <si>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</si>
  <si>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</si>
  <si>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</si>
  <si>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</si>
  <si>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</si>
  <si>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</si>
  <si>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</si>
  <si>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</si>
  <si>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</si>
  <si>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</si>
  <si>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</si>
  <si>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</si>
  <si>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</si>
  <si>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</si>
  <si>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</si>
  <si>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</si>
  <si>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</si>
  <si>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</si>
  <si>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</si>
  <si>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</si>
  <si>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</si>
  <si>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</si>
  <si>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</si>
  <si>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</si>
  <si>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</si>
  <si>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</si>
  <si>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</si>
  <si>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</si>
  <si>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</si>
  <si>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</si>
  <si>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</si>
  <si>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</si>
  <si>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</si>
  <si>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</si>
  <si>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</si>
  <si>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</si>
  <si>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</si>
  <si>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</si>
  <si>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</si>
  <si>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</si>
  <si>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</si>
  <si>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</si>
  <si>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</si>
  <si>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</si>
  <si>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</si>
  <si>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</si>
  <si>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</si>
  <si>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</si>
  <si>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</si>
  <si>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</si>
  <si>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</si>
  <si>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</si>
  <si>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</si>
  <si>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</si>
  <si>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</si>
  <si>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</si>
  <si>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</si>
  <si>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</si>
  <si>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</si>
  <si>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</si>
  <si>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</si>
  <si>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</si>
  <si>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</si>
  <si>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</si>
  <si>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</si>
  <si>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</si>
  <si>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</si>
  <si>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</si>
  <si>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</si>
  <si>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</si>
  <si>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</si>
  <si>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</si>
  <si>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</si>
  <si>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</si>
  <si>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</si>
  <si>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</si>
  <si>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</si>
  <si>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</si>
  <si>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</si>
  <si>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</si>
  <si>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</si>
  <si>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</si>
  <si>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</si>
  <si>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</si>
  <si>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</si>
  <si>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</si>
  <si>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Energieversorgung Netz Halle GmbH</t>
  </si>
  <si>
    <t>Zum Heizkraftwerk 12</t>
  </si>
  <si>
    <t>Halle (Saale)</t>
  </si>
  <si>
    <t>Alexander Jung</t>
  </si>
  <si>
    <t>edm@netzhalle.de</t>
  </si>
  <si>
    <t>0345/581-7542</t>
  </si>
  <si>
    <t>Netz Halle</t>
  </si>
  <si>
    <t>THE0NKH700240000</t>
  </si>
  <si>
    <t>Halle</t>
  </si>
  <si>
    <t>Halle Trotha</t>
  </si>
  <si>
    <t>DE_HEF34</t>
  </si>
  <si>
    <t>DE_HMF34</t>
  </si>
  <si>
    <t>DE_GHD34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</si>
</sst>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theme="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he083\Downloads\SLP%20&#8211;%20verfahrensspezifische%20Parameter%20ab%200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SLP-Feiertage"/>
      <sheetName val="BDEW-Standard"/>
      <sheetName val="Wochentag F(WT)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m@netzhalle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opLeftCell="A13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" sqref="D2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44470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66">
        <v>9870024000000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658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>
        <v>6112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659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660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367" t="s">
        <v>661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662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5" t="s">
        <v>499</v>
      </c>
      <c r="D28" s="47" t="str">
        <f>IF(D27&lt;&gt;C28,VLOOKUP(D27,$C$29:$D$48,2,FALSE),C28)</f>
        <v>Netz Halle</v>
      </c>
      <c r="E28" s="38"/>
      <c r="F28" s="11"/>
      <c r="G28" s="2"/>
    </row>
    <row r="29" spans="1:15">
      <c r="B29" s="15"/>
      <c r="C29" s="22" t="s">
        <v>393</v>
      </c>
      <c r="D29" s="44" t="s">
        <v>663</v>
      </c>
      <c r="E29" s="40"/>
      <c r="F29" s="11"/>
      <c r="G29" s="2"/>
    </row>
    <row r="30" spans="1:15">
      <c r="B30" s="15"/>
      <c r="C30" s="22" t="s">
        <v>394</v>
      </c>
      <c r="D30" s="44"/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opLeftCell="A22" zoomScale="80" zoomScaleNormal="80" workbookViewId="0">
      <selection activeCell="D49" sqref="D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Energieversorgung Netz Halle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Netzbetreiber!D28</f>
        <v>Netz Halle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60">
        <f>Netzbetreiber!$D$11</f>
        <v>9870024000000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44470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6" t="s">
        <v>616</v>
      </c>
      <c r="I11" s="276" t="s">
        <v>617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653</v>
      </c>
      <c r="D13" s="42" t="s">
        <v>664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74" t="s">
        <v>257</v>
      </c>
      <c r="I15" s="274" t="s">
        <v>135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575</v>
      </c>
      <c r="I16" s="275" t="s">
        <v>486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487</v>
      </c>
      <c r="I17" s="275" t="s">
        <v>488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84</v>
      </c>
      <c r="C19" s="8" t="s">
        <v>613</v>
      </c>
      <c r="D19" s="48" t="s">
        <v>609</v>
      </c>
      <c r="E19" s="15"/>
      <c r="H19" s="272" t="s">
        <v>609</v>
      </c>
      <c r="I19" s="272" t="s">
        <v>610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611</v>
      </c>
      <c r="E20" s="15"/>
      <c r="H20" s="272" t="s">
        <v>612</v>
      </c>
      <c r="I20" s="8" t="s">
        <v>608</v>
      </c>
      <c r="J20" s="8"/>
      <c r="K20" s="8"/>
      <c r="L20" s="273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2" t="s">
        <v>611</v>
      </c>
      <c r="I21" s="272" t="s">
        <v>618</v>
      </c>
      <c r="J21" s="8"/>
      <c r="K21" s="8"/>
      <c r="L21" s="275" t="s">
        <v>619</v>
      </c>
      <c r="M21" s="275" t="s">
        <v>621</v>
      </c>
      <c r="N21" s="275" t="s">
        <v>620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4" t="s">
        <v>134</v>
      </c>
      <c r="I23" s="274" t="s">
        <v>136</v>
      </c>
      <c r="J23" s="272"/>
      <c r="K23" s="272"/>
      <c r="L23" s="273"/>
    </row>
    <row r="24" spans="2:16" ht="15" customHeight="1">
      <c r="B24" s="7"/>
      <c r="C24" s="6" t="s">
        <v>622</v>
      </c>
      <c r="D24" s="42" t="s">
        <v>623</v>
      </c>
      <c r="E24" s="15"/>
      <c r="H24" s="308" t="s">
        <v>623</v>
      </c>
      <c r="I24" s="274" t="s">
        <v>624</v>
      </c>
      <c r="J24" s="274" t="s">
        <v>625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626</v>
      </c>
      <c r="I25" s="275" t="s">
        <v>627</v>
      </c>
      <c r="J25" s="275" t="s">
        <v>628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629</v>
      </c>
      <c r="I26" s="275" t="s">
        <v>630</v>
      </c>
      <c r="J26" s="275" t="s">
        <v>631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4" t="s">
        <v>134</v>
      </c>
      <c r="I28" s="274" t="s">
        <v>136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632</v>
      </c>
      <c r="I29" s="275" t="s">
        <v>633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634</v>
      </c>
      <c r="I30" s="272" t="s">
        <v>629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491</v>
      </c>
      <c r="C32" s="24" t="s">
        <v>493</v>
      </c>
      <c r="D32" s="268">
        <v>4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2"/>
      <c r="J34" s="272"/>
      <c r="K34" s="272"/>
      <c r="L34" s="272"/>
      <c r="M34" s="273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9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4" t="s">
        <v>665</v>
      </c>
    </row>
    <row r="46" spans="2:39" ht="18" customHeight="1">
      <c r="C46" s="22" t="s">
        <v>587</v>
      </c>
      <c r="D46" s="44"/>
    </row>
    <row r="47" spans="2:39" ht="18" customHeight="1">
      <c r="C47" s="22" t="s">
        <v>588</v>
      </c>
      <c r="D47" s="44"/>
    </row>
    <row r="48" spans="2:39" ht="18" customHeight="1">
      <c r="C48" s="22" t="s">
        <v>589</v>
      </c>
      <c r="D48" s="44"/>
    </row>
    <row r="49" spans="3:4" ht="18" customHeight="1">
      <c r="C49" s="22" t="s">
        <v>590</v>
      </c>
      <c r="D49" s="44"/>
    </row>
    <row r="50" spans="3:4" ht="18" customHeight="1">
      <c r="C50" s="22" t="s">
        <v>591</v>
      </c>
      <c r="D50" s="44"/>
    </row>
    <row r="51" spans="3:4" ht="18" customHeight="1">
      <c r="C51" s="22" t="s">
        <v>592</v>
      </c>
      <c r="D51" s="44"/>
    </row>
    <row r="52" spans="3:4" ht="18" customHeight="1">
      <c r="C52" s="22" t="s">
        <v>593</v>
      </c>
      <c r="D52" s="44"/>
    </row>
    <row r="53" spans="3:4" ht="18" customHeight="1">
      <c r="C53" s="22" t="s">
        <v>594</v>
      </c>
      <c r="D53" s="44"/>
    </row>
    <row r="54" spans="3:4" ht="18" customHeight="1">
      <c r="C54" s="22" t="s">
        <v>595</v>
      </c>
      <c r="D54" s="44"/>
    </row>
    <row r="55" spans="3:4" ht="18" customHeight="1">
      <c r="C55" s="22" t="s">
        <v>596</v>
      </c>
      <c r="D55" s="44"/>
    </row>
    <row r="56" spans="3:4" ht="18" customHeight="1">
      <c r="C56" s="22" t="s">
        <v>597</v>
      </c>
      <c r="D56" s="44"/>
    </row>
    <row r="57" spans="3:4" ht="18" customHeight="1">
      <c r="C57" s="22" t="s">
        <v>598</v>
      </c>
      <c r="D57" s="44"/>
    </row>
    <row r="58" spans="3:4" ht="18" customHeight="1">
      <c r="C58" s="22" t="s">
        <v>599</v>
      </c>
      <c r="D58" s="44"/>
    </row>
    <row r="59" spans="3:4" ht="18" customHeight="1">
      <c r="C59" s="22" t="s">
        <v>600</v>
      </c>
      <c r="D59" s="44"/>
    </row>
  </sheetData>
  <conditionalFormatting sqref="D13">
    <cfRule type="expression" dxfId="57" priority="20">
      <formula>IF(#REF!="Gaspool",1,0)</formula>
    </cfRule>
  </conditionalFormatting>
  <conditionalFormatting sqref="D45:D59">
    <cfRule type="expression" dxfId="56" priority="16">
      <formula>IF(CELL("Zeile",D45)&lt;$D$43+CELL("Zeile",$D$45),1,0)</formula>
    </cfRule>
  </conditionalFormatting>
  <conditionalFormatting sqref="D46:D59">
    <cfRule type="expression" dxfId="55" priority="15">
      <formula>IF(CELL(D46)&lt;$D$33+27,1,0)</formula>
    </cfRule>
  </conditionalFormatting>
  <conditionalFormatting sqref="D20">
    <cfRule type="expression" dxfId="54" priority="14">
      <formula>IF($D$19=$H$19,1,0)</formula>
    </cfRule>
  </conditionalFormatting>
  <conditionalFormatting sqref="D28">
    <cfRule type="expression" dxfId="53" priority="3">
      <formula>IF($D$15="synthetisch",1,0)</formula>
    </cfRule>
  </conditionalFormatting>
  <conditionalFormatting sqref="D25">
    <cfRule type="expression" dxfId="52" priority="1">
      <formula>IF(AND($D$24=$I$24,$D$23=$H$23),1,0)</formula>
    </cfRule>
  </conditionalFormatting>
  <conditionalFormatting sqref="D23:D25">
    <cfRule type="expression" dxfId="51" priority="4">
      <formula>IF($D$15="analytisch",1,0)</formula>
    </cfRule>
  </conditionalFormatting>
  <conditionalFormatting sqref="D24">
    <cfRule type="expression" dxfId="50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topLeftCell="B46" zoomScaleNormal="100" workbookViewId="0">
      <selection activeCell="E33" sqref="E33:H33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tr">
        <f>Netzbetreiber!D9</f>
        <v>Energieversorgung Netz Halle GmbH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Netz Halle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368">
        <f>Netzbetreiber!D11</f>
        <v>9870024000000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f>Netzbetreiber!D6</f>
        <v>44470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1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 t="str">
        <f>INDEX('SLP-Verfahren'!D45:D59,'SLP-Temp-Gebiet #01'!F10)</f>
        <v>Halle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1" t="s">
        <v>584</v>
      </c>
      <c r="D13" s="351"/>
      <c r="E13" s="351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2" t="s">
        <v>445</v>
      </c>
      <c r="D14" s="352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2" t="s">
        <v>385</v>
      </c>
      <c r="D15" s="352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/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517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523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525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537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156" t="s">
        <v>502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520</v>
      </c>
      <c r="D24" s="188"/>
      <c r="E24" s="156" t="s">
        <v>666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514</v>
      </c>
      <c r="D25" s="188"/>
      <c r="E25" s="160">
        <v>10465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156" t="s">
        <v>503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655</v>
      </c>
      <c r="T26" s="209" t="s">
        <v>656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654</v>
      </c>
      <c r="D27" s="349"/>
      <c r="E27" s="349" t="str">
        <f>IF(E26="Individuelle GPT",CONCATENATE(Netzbetreiber!$D$11,'SLP-Temp-Gebiet #01'!E25,"B"),IF('SLP-Temp-Gebiet #01'!E26="Allgemeine GPT",CONCATENATE(Netzbetreiber!$D$11,'SLP-Temp-Gebiet #01'!E25,"A"),""))</f>
        <v/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143</v>
      </c>
      <c r="P27" s="13"/>
      <c r="Q27" s="211"/>
      <c r="R27" s="209" t="s">
        <v>503</v>
      </c>
      <c r="S27" s="209" t="s">
        <v>504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519</v>
      </c>
      <c r="D29" s="130"/>
      <c r="E29" s="130"/>
      <c r="F29" s="48">
        <v>4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1</v>
      </c>
      <c r="G30" s="178">
        <f t="shared" si="2"/>
        <v>1</v>
      </c>
      <c r="H30" s="178">
        <f t="shared" si="2"/>
        <v>1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526</v>
      </c>
      <c r="D32" s="186" t="s">
        <v>255</v>
      </c>
      <c r="E32" s="287">
        <f>1-SUMPRODUCT(F30:N30,F32:N32)</f>
        <v>0.56110000000000004</v>
      </c>
      <c r="F32" s="287">
        <f>ROUND(F33/$D$33,4)</f>
        <v>0.15559999999999999</v>
      </c>
      <c r="G32" s="287">
        <f t="shared" ref="G32:N32" si="3">ROUND(G33/$D$33,4)</f>
        <v>8.5699999999999998E-2</v>
      </c>
      <c r="H32" s="287">
        <f t="shared" si="3"/>
        <v>0.1976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533</v>
      </c>
      <c r="D33" s="293">
        <f>SUMPRODUCT(E33:N33,E30:N30)</f>
        <v>1</v>
      </c>
      <c r="E33" s="288">
        <v>0.56110000000000004</v>
      </c>
      <c r="F33" s="288">
        <v>0.15559999999999999</v>
      </c>
      <c r="G33" s="288">
        <v>8.5699999999999998E-2</v>
      </c>
      <c r="H33" s="288">
        <v>0.1976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3"/>
      <c r="C35" s="187" t="s">
        <v>448</v>
      </c>
      <c r="D35" s="153" t="s">
        <v>447</v>
      </c>
      <c r="E35" s="156" t="s">
        <v>511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605</v>
      </c>
      <c r="D36" s="153" t="s">
        <v>606</v>
      </c>
      <c r="E36" s="156" t="s">
        <v>604</v>
      </c>
      <c r="F36" s="156" t="s">
        <v>604</v>
      </c>
      <c r="G36" s="156" t="s">
        <v>604</v>
      </c>
      <c r="H36" s="156" t="s">
        <v>604</v>
      </c>
      <c r="I36" s="156" t="s">
        <v>604</v>
      </c>
      <c r="J36" s="156" t="s">
        <v>604</v>
      </c>
      <c r="K36" s="156" t="s">
        <v>604</v>
      </c>
      <c r="L36" s="156" t="s">
        <v>604</v>
      </c>
      <c r="M36" s="156" t="s">
        <v>604</v>
      </c>
      <c r="N36" s="156" t="s">
        <v>604</v>
      </c>
      <c r="O36" s="185" t="s">
        <v>142</v>
      </c>
      <c r="Q36" s="211"/>
      <c r="R36" s="67" t="s">
        <v>604</v>
      </c>
      <c r="S36" s="67" t="s">
        <v>607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440</v>
      </c>
      <c r="D37" s="119" t="s">
        <v>538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347</v>
      </c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532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524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530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535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536</v>
      </c>
      <c r="D47" s="201" t="s">
        <v>534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>
      <c r="B48" s="193"/>
      <c r="C48" s="200" t="s">
        <v>346</v>
      </c>
      <c r="D48" s="201" t="s">
        <v>534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579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543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518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525</v>
      </c>
      <c r="D56" s="153" t="s">
        <v>515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537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156" t="str">
        <f>E23</f>
        <v>MeteoGroup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520</v>
      </c>
      <c r="D59" s="188"/>
      <c r="E59" s="156" t="str">
        <f>E24</f>
        <v>Halle Trotha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521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514</v>
      </c>
      <c r="D60" s="188"/>
      <c r="E60" s="160">
        <f>E25</f>
        <v>10465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158" t="str">
        <f>E26</f>
        <v>Temp. (2m)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519</v>
      </c>
      <c r="D63" s="130"/>
      <c r="E63" s="130"/>
      <c r="F63" s="157">
        <f>F29</f>
        <v>4</v>
      </c>
    </row>
    <row r="64" spans="2:28" ht="15" customHeight="1">
      <c r="E64" s="178">
        <f>IF(E65&gt;$F$63,0,1)</f>
        <v>1</v>
      </c>
      <c r="F64" s="178">
        <f t="shared" ref="F64:N64" si="11">IF(F65&gt;$F$63,0,1)</f>
        <v>1</v>
      </c>
      <c r="G64" s="178">
        <f t="shared" si="11"/>
        <v>1</v>
      </c>
      <c r="H64" s="178">
        <f t="shared" si="11"/>
        <v>1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526</v>
      </c>
      <c r="D66" s="186" t="s">
        <v>255</v>
      </c>
      <c r="E66" s="287">
        <f>1-SUMPRODUCT(F64:N64,F66:N66)</f>
        <v>0.56110000000000004</v>
      </c>
      <c r="F66" s="287">
        <f>ROUND(F67/$D$67,4)</f>
        <v>0.15559999999999999</v>
      </c>
      <c r="G66" s="287">
        <f t="shared" ref="G66:N66" si="12">ROUND(G67/$D$67,4)</f>
        <v>8.5699999999999998E-2</v>
      </c>
      <c r="H66" s="287">
        <f t="shared" si="12"/>
        <v>0.1976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533</v>
      </c>
      <c r="D67" s="186">
        <f>SUMPRODUCT(E67:N67,E64:N64)</f>
        <v>1</v>
      </c>
      <c r="E67" s="295">
        <f>E33</f>
        <v>0.56110000000000004</v>
      </c>
      <c r="F67" s="295">
        <f t="shared" ref="F67:N67" si="13">F33</f>
        <v>0.15559999999999999</v>
      </c>
      <c r="G67" s="295">
        <f t="shared" si="13"/>
        <v>8.5699999999999998E-2</v>
      </c>
      <c r="H67" s="295">
        <f t="shared" si="13"/>
        <v>0.1976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145</v>
      </c>
    </row>
    <row r="68" spans="2:15">
      <c r="B68" s="183"/>
      <c r="C68" s="187" t="s">
        <v>359</v>
      </c>
      <c r="D68" s="153" t="s">
        <v>358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142</v>
      </c>
    </row>
    <row r="69" spans="2:15">
      <c r="B69" s="183"/>
      <c r="C69" s="187" t="s">
        <v>448</v>
      </c>
      <c r="D69" s="153" t="s">
        <v>447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142</v>
      </c>
    </row>
    <row r="70" spans="2:15">
      <c r="B70" s="183"/>
      <c r="C70" s="187" t="s">
        <v>605</v>
      </c>
      <c r="D70" s="153" t="s">
        <v>606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142</v>
      </c>
    </row>
    <row r="71" spans="2:15">
      <c r="B71" s="183"/>
      <c r="C71" s="192" t="s">
        <v>440</v>
      </c>
      <c r="D71" s="119" t="s">
        <v>538</v>
      </c>
      <c r="E71" s="163" t="s">
        <v>450</v>
      </c>
      <c r="F71" s="163" t="s">
        <v>450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142</v>
      </c>
    </row>
    <row r="72" spans="2:15"/>
    <row r="73" spans="2:15" ht="15.75" customHeight="1">
      <c r="C73" s="353" t="s">
        <v>580</v>
      </c>
      <c r="D73" s="353"/>
      <c r="E73" s="353"/>
      <c r="F73" s="353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9" priority="28">
      <formula>IF(E$20&lt;=$F$18,1,0)</formula>
    </cfRule>
  </conditionalFormatting>
  <conditionalFormatting sqref="E33:N37">
    <cfRule type="expression" dxfId="48" priority="27">
      <formula>IF(E$31&lt;=$F$29,1,0)</formula>
    </cfRule>
  </conditionalFormatting>
  <conditionalFormatting sqref="E26:N26">
    <cfRule type="expression" dxfId="47" priority="26">
      <formula>IF(E$20&lt;=$F$18,1,0)</formula>
    </cfRule>
  </conditionalFormatting>
  <conditionalFormatting sqref="E26:N26">
    <cfRule type="expression" dxfId="46" priority="25">
      <formula>IF(E$20&lt;=$F$18,1,0)</formula>
    </cfRule>
  </conditionalFormatting>
  <conditionalFormatting sqref="E57:N60">
    <cfRule type="expression" dxfId="45" priority="22">
      <formula>IF(E$55&lt;=$F$53,1,0)</formula>
    </cfRule>
  </conditionalFormatting>
  <conditionalFormatting sqref="E61:N61">
    <cfRule type="expression" dxfId="44" priority="21">
      <formula>IF(E$55&lt;=$F$53,1,0)</formula>
    </cfRule>
  </conditionalFormatting>
  <conditionalFormatting sqref="E67:N69">
    <cfRule type="expression" dxfId="43" priority="15">
      <formula>IF(E$65&lt;=$F$63,1,0)</formula>
    </cfRule>
  </conditionalFormatting>
  <conditionalFormatting sqref="E66:N69 E71:N71">
    <cfRule type="expression" dxfId="42" priority="13">
      <formula>IF(E$65&gt;$F$63,1,0)</formula>
    </cfRule>
  </conditionalFormatting>
  <conditionalFormatting sqref="E57:N61">
    <cfRule type="expression" dxfId="41" priority="12">
      <formula>IF(E$55&gt;$F$53,1,0)</formula>
    </cfRule>
  </conditionalFormatting>
  <conditionalFormatting sqref="E21:N26">
    <cfRule type="expression" dxfId="40" priority="11">
      <formula>IF(E$20&gt;$F$18,1,0)</formula>
    </cfRule>
  </conditionalFormatting>
  <conditionalFormatting sqref="E33:N37">
    <cfRule type="expression" dxfId="39" priority="10">
      <formula>IF(E$31&gt;$F$29,1,0)</formula>
    </cfRule>
  </conditionalFormatting>
  <conditionalFormatting sqref="H11 H8:H9">
    <cfRule type="expression" dxfId="38" priority="9">
      <formula>IF($F$9=1,1,0)</formula>
    </cfRule>
  </conditionalFormatting>
  <conditionalFormatting sqref="E56:N56">
    <cfRule type="expression" dxfId="37" priority="8">
      <formula>IF(E$55&gt;$F$53,1,0)</formula>
    </cfRule>
  </conditionalFormatting>
  <conditionalFormatting sqref="E32:N32">
    <cfRule type="expression" dxfId="36" priority="7">
      <formula>IF(E$31&gt;$F$29,1,0)</formula>
    </cfRule>
  </conditionalFormatting>
  <conditionalFormatting sqref="E71:N71">
    <cfRule type="expression" dxfId="35" priority="6">
      <formula>IF(E$65&lt;=$F$63,1,0)</formula>
    </cfRule>
  </conditionalFormatting>
  <conditionalFormatting sqref="H10">
    <cfRule type="expression" dxfId="34" priority="5">
      <formula>IF($F$9=1,1,0)</formula>
    </cfRule>
  </conditionalFormatting>
  <conditionalFormatting sqref="E70:N70">
    <cfRule type="expression" dxfId="33" priority="2">
      <formula>IF(E$65&lt;=$F$63,1,0)</formula>
    </cfRule>
  </conditionalFormatting>
  <conditionalFormatting sqref="E70:N70">
    <cfRule type="expression" dxfId="32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F37:N37 F25:N25 E57:N60 E22:F22 I22:N22 F53 F63 G24:N24 G71:N71 E34:N35 E70:N70 I33:N33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Netz Halle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2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1" t="s">
        <v>584</v>
      </c>
      <c r="D13" s="351"/>
      <c r="E13" s="351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2" t="s">
        <v>445</v>
      </c>
      <c r="D14" s="352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2" t="s">
        <v>385</v>
      </c>
      <c r="D15" s="352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528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517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523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525</v>
      </c>
      <c r="D21" s="153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537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520</v>
      </c>
      <c r="D24" s="188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519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526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533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5" t="s">
        <v>142</v>
      </c>
      <c r="Q35" s="211"/>
      <c r="R35" s="67" t="s">
        <v>604</v>
      </c>
      <c r="S35" s="67" t="s">
        <v>607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538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531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532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524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529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530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535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536</v>
      </c>
      <c r="D46" s="201" t="s">
        <v>534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534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579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518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525</v>
      </c>
      <c r="D55" s="153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537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520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521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519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526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533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>
      <c r="B69" s="183"/>
      <c r="C69" s="187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>
      <c r="B70" s="183"/>
      <c r="C70" s="192" t="s">
        <v>440</v>
      </c>
      <c r="D70" s="119" t="s">
        <v>538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/>
    <row r="72" spans="2:15" ht="15.75" customHeight="1">
      <c r="C72" s="353" t="s">
        <v>580</v>
      </c>
      <c r="D72" s="353"/>
      <c r="E72" s="353"/>
      <c r="F72" s="353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1" priority="18">
      <formula>IF(E$20&lt;=$F$18,1,0)</formula>
    </cfRule>
  </conditionalFormatting>
  <conditionalFormatting sqref="E32:N36">
    <cfRule type="expression" dxfId="30" priority="17">
      <formula>IF(E$30&lt;=$F$28,1,0)</formula>
    </cfRule>
  </conditionalFormatting>
  <conditionalFormatting sqref="E26:F26">
    <cfRule type="expression" dxfId="29" priority="16">
      <formula>IF(E$20&lt;=$F$18,1,0)</formula>
    </cfRule>
  </conditionalFormatting>
  <conditionalFormatting sqref="E26:N26">
    <cfRule type="expression" dxfId="28" priority="15">
      <formula>IF(E$20&lt;=$F$18,1,0)</formula>
    </cfRule>
  </conditionalFormatting>
  <conditionalFormatting sqref="E56:N59">
    <cfRule type="expression" dxfId="27" priority="14">
      <formula>IF(E$54&lt;=$F$52,1,0)</formula>
    </cfRule>
  </conditionalFormatting>
  <conditionalFormatting sqref="E60:N60">
    <cfRule type="expression" dxfId="26" priority="13">
      <formula>IF(E$54&lt;=$F$52,1,0)</formula>
    </cfRule>
  </conditionalFormatting>
  <conditionalFormatting sqref="E66:N68">
    <cfRule type="expression" dxfId="25" priority="12">
      <formula>IF(E$64&lt;=$F$62,1,0)</formula>
    </cfRule>
  </conditionalFormatting>
  <conditionalFormatting sqref="E65:N68 E70:N70">
    <cfRule type="expression" dxfId="24" priority="11">
      <formula>IF(E$64&gt;$F$62,1,0)</formula>
    </cfRule>
  </conditionalFormatting>
  <conditionalFormatting sqref="E56:N60">
    <cfRule type="expression" dxfId="23" priority="10">
      <formula>IF(E$54&gt;$F$52,1,0)</formula>
    </cfRule>
  </conditionalFormatting>
  <conditionalFormatting sqref="E21:N26">
    <cfRule type="expression" dxfId="22" priority="9">
      <formula>IF(E$20&gt;$F$18,1,0)</formula>
    </cfRule>
  </conditionalFormatting>
  <conditionalFormatting sqref="E32:N36">
    <cfRule type="expression" dxfId="21" priority="8">
      <formula>IF(E$30&gt;$F$28,1,0)</formula>
    </cfRule>
  </conditionalFormatting>
  <conditionalFormatting sqref="H11 H8:H9">
    <cfRule type="expression" dxfId="20" priority="7">
      <formula>IF($F$9=1,1,0)</formula>
    </cfRule>
  </conditionalFormatting>
  <conditionalFormatting sqref="E55:N55">
    <cfRule type="expression" dxfId="19" priority="6">
      <formula>IF(E$54&gt;$F$52,1,0)</formula>
    </cfRule>
  </conditionalFormatting>
  <conditionalFormatting sqref="E31:N31">
    <cfRule type="expression" dxfId="18" priority="5">
      <formula>IF(E$30&gt;$F$28,1,0)</formula>
    </cfRule>
  </conditionalFormatting>
  <conditionalFormatting sqref="E70:N70">
    <cfRule type="expression" dxfId="17" priority="4">
      <formula>IF(E$64&lt;=$F$62,1,0)</formula>
    </cfRule>
  </conditionalFormatting>
  <conditionalFormatting sqref="H10">
    <cfRule type="expression" dxfId="16" priority="3">
      <formula>IF($F$9=1,1,0)</formula>
    </cfRule>
  </conditionalFormatting>
  <conditionalFormatting sqref="E69:N69">
    <cfRule type="expression" dxfId="15" priority="2">
      <formula>IF(E$64&lt;=$F$62,1,0)</formula>
    </cfRule>
  </conditionalFormatting>
  <conditionalFormatting sqref="E69:N69">
    <cfRule type="expression" dxfId="14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D1" zoomScale="80" zoomScaleNormal="80" workbookViewId="0">
      <selection activeCell="Y12" sqref="Y12:Y15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Energieversorgung Netz Halle GmbH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334</v>
      </c>
      <c r="D6" s="53" t="str">
        <f>Netzbetreiber!$D$28</f>
        <v>Netz Halle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53">
        <f>Netzbetreiber!$D$11</f>
        <v>9870024000000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44470</v>
      </c>
      <c r="E8" s="130"/>
      <c r="F8" s="130"/>
      <c r="H8" s="128" t="s">
        <v>493</v>
      </c>
      <c r="J8" s="132">
        <f>COUNTA(D12:D100)</f>
        <v>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492</v>
      </c>
      <c r="D10" s="134" t="s">
        <v>147</v>
      </c>
      <c r="E10" s="277" t="s">
        <v>510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305" t="s">
        <v>648</v>
      </c>
    </row>
    <row r="11" spans="2:26" ht="15.75" thickBot="1">
      <c r="B11" s="139" t="s">
        <v>494</v>
      </c>
      <c r="C11" s="140" t="s">
        <v>509</v>
      </c>
      <c r="D11" s="304" t="s">
        <v>248</v>
      </c>
      <c r="E11" s="164" t="s">
        <v>516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 t="shared" ref="C12:C41" si="0">$D$6</f>
        <v>Netz Halle</v>
      </c>
      <c r="D12" s="62" t="s">
        <v>248</v>
      </c>
      <c r="E12" s="165" t="s">
        <v>667</v>
      </c>
      <c r="F12" s="307" t="str">
        <f>VLOOKUP($E12,'BDEW-Standard'!$B$3:$M$94,F$9,0)</f>
        <v>1D4</v>
      </c>
      <c r="H12" s="278">
        <f>ROUND(VLOOKUP($E12,'BDEW-Standard'!$B$3:$M$94,H$9,0),7)</f>
        <v>1.3819663</v>
      </c>
      <c r="I12" s="278">
        <f>ROUND(VLOOKUP($E12,'BDEW-Standard'!$B$3:$M$94,I$9,0),7)</f>
        <v>-37.412415500000002</v>
      </c>
      <c r="J12" s="278">
        <f>ROUND(VLOOKUP($E12,'BDEW-Standard'!$B$3:$M$94,J$9,0),7)</f>
        <v>6.1723179000000004</v>
      </c>
      <c r="K12" s="278">
        <f>ROUND(VLOOKUP($E12,'BDEW-Standard'!$B$3:$M$94,K$9,0),7)</f>
        <v>3.9628400000000001E-2</v>
      </c>
      <c r="L12" s="279">
        <f>ROUND(VLOOKUP($E12,'BDEW-Standard'!$B$3:$M$94,L$9,0),1)</f>
        <v>40</v>
      </c>
      <c r="M12" s="278">
        <f>ROUND(VLOOKUP($E12,'BDEW-Standard'!$B$3:$M$94,M$9,0),7)</f>
        <v>-6.7215899999999995E-2</v>
      </c>
      <c r="N12" s="278">
        <f>ROUND(VLOOKUP($E12,'BDEW-Standard'!$B$3:$M$94,N$9,0),7)</f>
        <v>1.1167138000000001</v>
      </c>
      <c r="O12" s="278">
        <f>ROUND(VLOOKUP($E12,'BDEW-Standard'!$B$3:$M$94,O$9,0),7)</f>
        <v>-1.9981999999999999E-3</v>
      </c>
      <c r="P12" s="278">
        <f>ROUND(VLOOKUP($E12,'BDEW-Standard'!$B$3:$M$94,P$9,0),7)</f>
        <v>0.13550699999999999</v>
      </c>
      <c r="Q12" s="280">
        <f t="shared" ref="Q12:Q26" si="1">($H12/(1+($I12/($Q$9-$L12))^$J12)+$K12)+MAX($M12*$Q$9+$N12,$O12*$Q$9+$P12)</f>
        <v>0.99999978578617399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>
        <v>330.86808300000001</v>
      </c>
      <c r="Z12" s="212"/>
    </row>
    <row r="13" spans="2:26" s="143" customFormat="1">
      <c r="B13" s="144">
        <v>2</v>
      </c>
      <c r="C13" s="145" t="str">
        <f t="shared" si="0"/>
        <v>Netz Halle</v>
      </c>
      <c r="D13" s="62" t="s">
        <v>248</v>
      </c>
      <c r="E13" s="165" t="s">
        <v>668</v>
      </c>
      <c r="F13" s="307" t="str">
        <f>VLOOKUP($E13,'BDEW-Standard'!$B$3:$M$94,F$9,0)</f>
        <v>2D4</v>
      </c>
      <c r="H13" s="278">
        <f>ROUND(VLOOKUP($E13,'BDEW-Standard'!$B$3:$M$94,H$9,0),7)</f>
        <v>1.0443538000000001</v>
      </c>
      <c r="I13" s="278">
        <f>ROUND(VLOOKUP($E13,'BDEW-Standard'!$B$3:$M$94,I$9,0),7)</f>
        <v>-35.033375399999997</v>
      </c>
      <c r="J13" s="278">
        <f>ROUND(VLOOKUP($E13,'BDEW-Standard'!$B$3:$M$94,J$9,0),7)</f>
        <v>6.2240634000000004</v>
      </c>
      <c r="K13" s="278">
        <f>ROUND(VLOOKUP($E13,'BDEW-Standard'!$B$3:$M$94,K$9,0),7)</f>
        <v>5.0291700000000002E-2</v>
      </c>
      <c r="L13" s="279">
        <f>ROUND(VLOOKUP($E13,'BDEW-Standard'!$B$3:$M$94,L$9,0),1)</f>
        <v>40</v>
      </c>
      <c r="M13" s="278">
        <f>ROUND(VLOOKUP($E13,'BDEW-Standard'!$B$3:$M$94,M$9,0),7)</f>
        <v>-5.3582999999999999E-2</v>
      </c>
      <c r="N13" s="278">
        <f>ROUND(VLOOKUP($E13,'BDEW-Standard'!$B$3:$M$94,N$9,0),7)</f>
        <v>0.99959010000000004</v>
      </c>
      <c r="O13" s="278">
        <f>ROUND(VLOOKUP($E13,'BDEW-Standard'!$B$3:$M$94,O$9,0),7)</f>
        <v>-2.1757999999999999E-3</v>
      </c>
      <c r="P13" s="278">
        <f>ROUND(VLOOKUP($E13,'BDEW-Standard'!$B$3:$M$94,P$9,0),7)</f>
        <v>0.1633299</v>
      </c>
      <c r="Q13" s="280">
        <f t="shared" si="1"/>
        <v>1.0000001838008261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26" si="2">7-SUM(R13:W13)</f>
        <v>1</v>
      </c>
      <c r="Y13" s="303">
        <v>322.13137740000002</v>
      </c>
      <c r="Z13" s="212"/>
    </row>
    <row r="14" spans="2:26" s="143" customFormat="1">
      <c r="B14" s="144">
        <v>3</v>
      </c>
      <c r="C14" s="145" t="str">
        <f t="shared" si="0"/>
        <v>Netz Halle</v>
      </c>
      <c r="D14" s="62" t="s">
        <v>248</v>
      </c>
      <c r="E14" s="165" t="s">
        <v>669</v>
      </c>
      <c r="F14" s="307" t="str">
        <f>VLOOKUP($E14,'BDEW-Standard'!$B$3:$M$94,F$9,0)</f>
        <v>DH4</v>
      </c>
      <c r="H14" s="278">
        <f>ROUND(VLOOKUP($E14,'BDEW-Standard'!$B$3:$M$94,H$9,0),7)</f>
        <v>1.2569600000000001</v>
      </c>
      <c r="I14" s="278">
        <f>ROUND(VLOOKUP($E14,'BDEW-Standard'!$B$3:$M$94,I$9,0),7)</f>
        <v>-36.607845300000001</v>
      </c>
      <c r="J14" s="278">
        <f>ROUND(VLOOKUP($E14,'BDEW-Standard'!$B$3:$M$94,J$9,0),7)</f>
        <v>7.3211870000000001</v>
      </c>
      <c r="K14" s="278">
        <f>ROUND(VLOOKUP($E14,'BDEW-Standard'!$B$3:$M$94,K$9,0),7)</f>
        <v>7.7696000000000001E-2</v>
      </c>
      <c r="L14" s="279">
        <f>ROUND(VLOOKUP($E14,'BDEW-Standard'!$B$3:$M$94,L$9,0),1)</f>
        <v>40</v>
      </c>
      <c r="M14" s="278">
        <f>ROUND(VLOOKUP($E14,'BDEW-Standard'!$B$3:$M$94,M$9,0),7)</f>
        <v>-6.9682599999999997E-2</v>
      </c>
      <c r="N14" s="278">
        <f>ROUND(VLOOKUP($E14,'BDEW-Standard'!$B$3:$M$94,N$9,0),7)</f>
        <v>1.1379702</v>
      </c>
      <c r="O14" s="278">
        <f>ROUND(VLOOKUP($E14,'BDEW-Standard'!$B$3:$M$94,O$9,0),7)</f>
        <v>-8.5220000000000001E-4</v>
      </c>
      <c r="P14" s="278">
        <f>ROUND(VLOOKUP($E14,'BDEW-Standard'!$B$3:$M$94,P$9,0),7)</f>
        <v>0.19210679999999999</v>
      </c>
      <c r="Q14" s="280">
        <f t="shared" si="1"/>
        <v>0.99999998900648401</v>
      </c>
      <c r="R14" s="281">
        <f>ROUND(VLOOKUP(MID($E14,4,3),'Wochentag F(WT)'!$B$7:$J$22,R$9,0),4)</f>
        <v>1.03</v>
      </c>
      <c r="S14" s="281">
        <f>ROUND(VLOOKUP(MID($E14,4,3),'Wochentag F(WT)'!$B$7:$J$22,S$9,0),4)</f>
        <v>1.03</v>
      </c>
      <c r="T14" s="281">
        <f>ROUND(VLOOKUP(MID($E14,4,3),'Wochentag F(WT)'!$B$7:$J$22,T$9,0),4)</f>
        <v>1.02</v>
      </c>
      <c r="U14" s="281">
        <f>ROUND(VLOOKUP(MID($E14,4,3),'Wochentag F(WT)'!$B$7:$J$22,U$9,0),4)</f>
        <v>1.03</v>
      </c>
      <c r="V14" s="281">
        <f>ROUND(VLOOKUP(MID($E14,4,3),'Wochentag F(WT)'!$B$7:$J$22,V$9,0),4)</f>
        <v>1.01</v>
      </c>
      <c r="W14" s="281">
        <f>ROUND(VLOOKUP(MID($E14,4,3),'Wochentag F(WT)'!$B$7:$J$22,W$9,0),4)</f>
        <v>0.93</v>
      </c>
      <c r="X14" s="282">
        <f t="shared" si="2"/>
        <v>0.95000000000000018</v>
      </c>
      <c r="Y14" s="303">
        <v>346.60842869999999</v>
      </c>
      <c r="Z14" s="212"/>
    </row>
    <row r="15" spans="2:26" s="143" customFormat="1">
      <c r="B15" s="144">
        <v>4</v>
      </c>
      <c r="C15" s="145" t="str">
        <f t="shared" si="0"/>
        <v>Netz Halle</v>
      </c>
      <c r="D15" s="62" t="s">
        <v>248</v>
      </c>
      <c r="E15" s="165" t="s">
        <v>4</v>
      </c>
      <c r="F15" s="307" t="str">
        <f>VLOOKUP($E15,'BDEW-Standard'!$B$3:$M$94,F$9,0)</f>
        <v>HK3</v>
      </c>
      <c r="H15" s="278">
        <f>ROUND(VLOOKUP($E15,'BDEW-Standard'!$B$3:$M$94,H$9,0),7)</f>
        <v>0.40409319999999999</v>
      </c>
      <c r="I15" s="278">
        <f>ROUND(VLOOKUP($E15,'BDEW-Standard'!$B$3:$M$94,I$9,0),7)</f>
        <v>-24.439296800000001</v>
      </c>
      <c r="J15" s="278">
        <f>ROUND(VLOOKUP($E15,'BDEW-Standard'!$B$3:$M$94,J$9,0),7)</f>
        <v>6.5718174999999999</v>
      </c>
      <c r="K15" s="278">
        <f>ROUND(VLOOKUP($E15,'BDEW-Standard'!$B$3:$M$94,K$9,0),7)</f>
        <v>0.71077100000000004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1.0561214000512988</v>
      </c>
      <c r="R15" s="281">
        <f>ROUND(VLOOKUP(MID($E15,4,3),'Wochentag F(WT)'!$B$7:$J$22,R$9,0),4)</f>
        <v>1</v>
      </c>
      <c r="S15" s="281">
        <f>ROUND(VLOOKUP(MID($E15,4,3),'Wochentag F(WT)'!$B$7:$J$22,S$9,0),4)</f>
        <v>1</v>
      </c>
      <c r="T15" s="281">
        <f>ROUND(VLOOKUP(MID($E15,4,3),'Wochentag F(WT)'!$B$7:$J$22,T$9,0),4)</f>
        <v>1</v>
      </c>
      <c r="U15" s="281">
        <f>ROUND(VLOOKUP(MID($E15,4,3),'Wochentag F(WT)'!$B$7:$J$22,U$9,0),4)</f>
        <v>1</v>
      </c>
      <c r="V15" s="281">
        <f>ROUND(VLOOKUP(MID($E15,4,3),'Wochentag F(WT)'!$B$7:$J$22,V$9,0),4)</f>
        <v>1</v>
      </c>
      <c r="W15" s="281">
        <f>ROUND(VLOOKUP(MID($E15,4,3),'Wochentag F(WT)'!$B$7:$J$22,W$9,0),4)</f>
        <v>1</v>
      </c>
      <c r="X15" s="282">
        <f t="shared" si="2"/>
        <v>1</v>
      </c>
      <c r="Y15" s="303">
        <v>361.43161099999998</v>
      </c>
      <c r="Z15" s="212"/>
    </row>
    <row r="16" spans="2:26" s="143" customFormat="1">
      <c r="B16" s="144">
        <v>5</v>
      </c>
      <c r="C16" s="145" t="str">
        <f t="shared" si="0"/>
        <v>Netz Halle</v>
      </c>
      <c r="D16" s="62"/>
      <c r="E16" s="165"/>
      <c r="F16" s="307"/>
      <c r="H16" s="278"/>
      <c r="I16" s="278"/>
      <c r="J16" s="278"/>
      <c r="K16" s="278"/>
      <c r="L16" s="279"/>
      <c r="M16" s="278"/>
      <c r="N16" s="278"/>
      <c r="O16" s="278"/>
      <c r="P16" s="278"/>
      <c r="Q16" s="280"/>
      <c r="R16" s="281"/>
      <c r="S16" s="281"/>
      <c r="T16" s="281"/>
      <c r="U16" s="281"/>
      <c r="V16" s="281"/>
      <c r="W16" s="281"/>
      <c r="X16" s="282"/>
      <c r="Y16" s="303"/>
      <c r="Z16" s="212"/>
    </row>
    <row r="17" spans="2:26" s="143" customFormat="1">
      <c r="B17" s="144">
        <v>6</v>
      </c>
      <c r="C17" s="145" t="str">
        <f t="shared" si="0"/>
        <v>Netz Halle</v>
      </c>
      <c r="D17" s="62"/>
      <c r="E17" s="165"/>
      <c r="F17" s="307"/>
      <c r="H17" s="278"/>
      <c r="I17" s="278"/>
      <c r="J17" s="278"/>
      <c r="K17" s="278"/>
      <c r="L17" s="279"/>
      <c r="M17" s="278"/>
      <c r="N17" s="278"/>
      <c r="O17" s="278"/>
      <c r="P17" s="278"/>
      <c r="Q17" s="280"/>
      <c r="R17" s="281"/>
      <c r="S17" s="281"/>
      <c r="T17" s="281"/>
      <c r="U17" s="281"/>
      <c r="V17" s="281"/>
      <c r="W17" s="281"/>
      <c r="X17" s="282"/>
      <c r="Y17" s="303"/>
      <c r="Z17" s="212"/>
    </row>
    <row r="18" spans="2:26" s="143" customFormat="1">
      <c r="B18" s="144">
        <v>7</v>
      </c>
      <c r="C18" s="145" t="str">
        <f t="shared" si="0"/>
        <v>Netz Halle</v>
      </c>
      <c r="D18" s="62"/>
      <c r="E18" s="165"/>
      <c r="F18" s="307"/>
      <c r="H18" s="278"/>
      <c r="I18" s="278"/>
      <c r="J18" s="278"/>
      <c r="K18" s="278"/>
      <c r="L18" s="279"/>
      <c r="M18" s="278"/>
      <c r="N18" s="278"/>
      <c r="O18" s="278"/>
      <c r="P18" s="278"/>
      <c r="Q18" s="280"/>
      <c r="R18" s="281"/>
      <c r="S18" s="281"/>
      <c r="T18" s="281"/>
      <c r="U18" s="281"/>
      <c r="V18" s="281"/>
      <c r="W18" s="281"/>
      <c r="X18" s="282"/>
      <c r="Y18" s="303"/>
      <c r="Z18" s="212"/>
    </row>
    <row r="19" spans="2:26" s="143" customFormat="1">
      <c r="B19" s="144">
        <v>8</v>
      </c>
      <c r="C19" s="145" t="str">
        <f t="shared" si="0"/>
        <v>Netz Halle</v>
      </c>
      <c r="D19" s="62"/>
      <c r="E19" s="165"/>
      <c r="F19" s="307"/>
      <c r="H19" s="278"/>
      <c r="I19" s="278"/>
      <c r="J19" s="278"/>
      <c r="K19" s="278"/>
      <c r="L19" s="279"/>
      <c r="M19" s="278"/>
      <c r="N19" s="278"/>
      <c r="O19" s="278"/>
      <c r="P19" s="278"/>
      <c r="Q19" s="280"/>
      <c r="R19" s="281"/>
      <c r="S19" s="281"/>
      <c r="T19" s="281"/>
      <c r="U19" s="281"/>
      <c r="V19" s="281"/>
      <c r="W19" s="281"/>
      <c r="X19" s="282"/>
      <c r="Y19" s="303"/>
      <c r="Z19" s="212"/>
    </row>
    <row r="20" spans="2:26" s="143" customFormat="1">
      <c r="B20" s="144">
        <v>9</v>
      </c>
      <c r="C20" s="145" t="str">
        <f t="shared" si="0"/>
        <v>Netz Halle</v>
      </c>
      <c r="D20" s="62"/>
      <c r="E20" s="165"/>
      <c r="F20" s="307"/>
      <c r="H20" s="278"/>
      <c r="I20" s="278"/>
      <c r="J20" s="278"/>
      <c r="K20" s="278"/>
      <c r="L20" s="279"/>
      <c r="M20" s="278"/>
      <c r="N20" s="278"/>
      <c r="O20" s="278"/>
      <c r="P20" s="278"/>
      <c r="Q20" s="280"/>
      <c r="R20" s="281"/>
      <c r="S20" s="281"/>
      <c r="T20" s="281"/>
      <c r="U20" s="281"/>
      <c r="V20" s="281"/>
      <c r="W20" s="281"/>
      <c r="X20" s="282"/>
      <c r="Y20" s="303"/>
      <c r="Z20" s="212"/>
    </row>
    <row r="21" spans="2:26" s="143" customFormat="1">
      <c r="B21" s="144">
        <v>10</v>
      </c>
      <c r="C21" s="145" t="str">
        <f t="shared" si="0"/>
        <v>Netz Halle</v>
      </c>
      <c r="D21" s="62"/>
      <c r="E21" s="165"/>
      <c r="F21" s="307"/>
      <c r="H21" s="278"/>
      <c r="I21" s="278"/>
      <c r="J21" s="278"/>
      <c r="K21" s="278"/>
      <c r="L21" s="279"/>
      <c r="M21" s="278"/>
      <c r="N21" s="278"/>
      <c r="O21" s="278"/>
      <c r="P21" s="278"/>
      <c r="Q21" s="280"/>
      <c r="R21" s="281"/>
      <c r="S21" s="281"/>
      <c r="T21" s="281"/>
      <c r="U21" s="281"/>
      <c r="V21" s="281"/>
      <c r="W21" s="281"/>
      <c r="X21" s="282"/>
      <c r="Y21" s="303"/>
      <c r="Z21" s="212"/>
    </row>
    <row r="22" spans="2:26" s="143" customFormat="1">
      <c r="B22" s="144">
        <v>11</v>
      </c>
      <c r="C22" s="145" t="str">
        <f t="shared" si="0"/>
        <v>Netz Halle</v>
      </c>
      <c r="D22" s="62"/>
      <c r="E22" s="165"/>
      <c r="F22" s="307"/>
      <c r="H22" s="278"/>
      <c r="I22" s="278"/>
      <c r="J22" s="278"/>
      <c r="K22" s="278"/>
      <c r="L22" s="279"/>
      <c r="M22" s="278"/>
      <c r="N22" s="278"/>
      <c r="O22" s="278"/>
      <c r="P22" s="278"/>
      <c r="Q22" s="280"/>
      <c r="R22" s="281"/>
      <c r="S22" s="281"/>
      <c r="T22" s="281"/>
      <c r="U22" s="281"/>
      <c r="V22" s="281"/>
      <c r="W22" s="281"/>
      <c r="X22" s="282"/>
      <c r="Y22" s="303"/>
      <c r="Z22" s="212"/>
    </row>
    <row r="23" spans="2:26" s="143" customFormat="1">
      <c r="B23" s="144">
        <v>12</v>
      </c>
      <c r="C23" s="145" t="str">
        <f t="shared" si="0"/>
        <v>Netz Halle</v>
      </c>
      <c r="D23" s="62"/>
      <c r="E23" s="165"/>
      <c r="F23" s="307"/>
      <c r="H23" s="278"/>
      <c r="I23" s="278"/>
      <c r="J23" s="278"/>
      <c r="K23" s="278"/>
      <c r="L23" s="279"/>
      <c r="M23" s="278"/>
      <c r="N23" s="278"/>
      <c r="O23" s="278"/>
      <c r="P23" s="278"/>
      <c r="Q23" s="280"/>
      <c r="R23" s="281"/>
      <c r="S23" s="281"/>
      <c r="T23" s="281"/>
      <c r="U23" s="281"/>
      <c r="V23" s="281"/>
      <c r="W23" s="281"/>
      <c r="X23" s="282"/>
      <c r="Y23" s="303"/>
      <c r="Z23" s="212"/>
    </row>
    <row r="24" spans="2:26" s="143" customFormat="1">
      <c r="B24" s="144">
        <v>13</v>
      </c>
      <c r="C24" s="145" t="str">
        <f t="shared" si="0"/>
        <v>Netz Halle</v>
      </c>
      <c r="D24" s="62"/>
      <c r="E24" s="165"/>
      <c r="F24" s="307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3" customFormat="1">
      <c r="B25" s="144">
        <v>14</v>
      </c>
      <c r="C25" s="145" t="str">
        <f t="shared" si="0"/>
        <v>Netz Halle</v>
      </c>
      <c r="D25" s="62"/>
      <c r="E25" s="165"/>
      <c r="F25" s="307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3" customFormat="1">
      <c r="B26" s="144">
        <v>15</v>
      </c>
      <c r="C26" s="145" t="str">
        <f t="shared" si="0"/>
        <v>Netz Halle</v>
      </c>
      <c r="D26" s="62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>
        <v>16</v>
      </c>
      <c r="C27" s="145" t="str">
        <f t="shared" si="0"/>
        <v>Netz Halle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Netz Halle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Netz Halle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Netz Halle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Netz Halle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Netz Halle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Netz Halle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Netz Halle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Netz Halle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Netz Halle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Netz Halle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Netz Halle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Netz Halle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Netz Halle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Netz Halle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11 H16:Y41 H12:X15">
    <cfRule type="expression" dxfId="13" priority="12">
      <formula>ISERROR(F11)</formula>
    </cfRule>
  </conditionalFormatting>
  <conditionalFormatting sqref="E12:F41 Y16:Y41">
    <cfRule type="duplicateValues" dxfId="12" priority="34"/>
  </conditionalFormatting>
  <conditionalFormatting sqref="Y12:Y15">
    <cfRule type="expression" dxfId="2" priority="2">
      <formula>ISERROR(Y12)</formula>
    </cfRule>
  </conditionalFormatting>
  <conditionalFormatting sqref="Y12:Y15">
    <cfRule type="duplicateValues" dxfId="1" priority="3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5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4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 Y16:Y41</xm:sqref>
        </x14:conditionalFormatting>
        <x14:conditionalFormatting xmlns:xm="http://schemas.microsoft.com/office/excel/2006/main">
          <x14:cfRule type="expression" priority="1" id="{B672B139-737D-472A-BF77-EABBD9C4AAED}">
            <xm:f>IF('C:\Users\ehe083\Downloads\[SLP – verfahrensspezifische Parameter ab 01 (2).xlsx]SLP-Verfahren'!#REF!='C:\Users\ehe083\Downloads\[SLP – verfahrensspezifische Parameter ab 01 (2).xlsx]SLP-Verfahren'!#REF!,1,0)</xm:f>
            <x14:dxf>
              <fill>
                <patternFill>
                  <bgColor theme="2"/>
                </patternFill>
              </fill>
            </x14:dxf>
          </x14:cfRule>
          <xm:sqref>Y12:Y15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344</v>
      </c>
      <c r="B1" s="216">
        <v>42173</v>
      </c>
      <c r="D1" s="131" t="s">
        <v>451</v>
      </c>
      <c r="F1" s="217" t="s">
        <v>545</v>
      </c>
      <c r="N1" s="218"/>
    </row>
    <row r="2" spans="1:14" ht="25.5">
      <c r="A2" s="219" t="s">
        <v>268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314</v>
      </c>
      <c r="D95" s="235" t="s">
        <v>269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319</v>
      </c>
      <c r="D96" s="235" t="s">
        <v>269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324</v>
      </c>
      <c r="D97" s="235" t="s">
        <v>269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329</v>
      </c>
      <c r="D98" s="235" t="s">
        <v>269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282</v>
      </c>
      <c r="D99" s="235" t="s">
        <v>269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286</v>
      </c>
      <c r="D100" s="235" t="s">
        <v>269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290</v>
      </c>
      <c r="D101" s="235" t="s">
        <v>269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294</v>
      </c>
      <c r="D102" s="235" t="s">
        <v>269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298</v>
      </c>
      <c r="D103" s="235" t="s">
        <v>269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302</v>
      </c>
      <c r="D104" s="235" t="s">
        <v>269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306</v>
      </c>
      <c r="D105" s="235" t="s">
        <v>269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310</v>
      </c>
      <c r="D106" s="235" t="s">
        <v>269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315</v>
      </c>
      <c r="D107" s="235" t="s">
        <v>269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320</v>
      </c>
      <c r="D108" s="235" t="s">
        <v>269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325</v>
      </c>
      <c r="D109" s="235" t="s">
        <v>269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330</v>
      </c>
      <c r="D110" s="235" t="s">
        <v>269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270</v>
      </c>
      <c r="D111" s="235" t="s">
        <v>269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271</v>
      </c>
      <c r="D112" s="235" t="s">
        <v>269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272</v>
      </c>
      <c r="D113" s="235" t="s">
        <v>269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273</v>
      </c>
      <c r="D114" s="235" t="s">
        <v>269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283</v>
      </c>
      <c r="D115" s="235" t="s">
        <v>269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287</v>
      </c>
      <c r="D116" s="235" t="s">
        <v>269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291</v>
      </c>
      <c r="D117" s="235" t="s">
        <v>269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295</v>
      </c>
      <c r="D118" s="235" t="s">
        <v>269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274</v>
      </c>
      <c r="D119" s="235" t="s">
        <v>269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276</v>
      </c>
      <c r="D120" s="235" t="s">
        <v>269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278</v>
      </c>
      <c r="D121" s="235" t="s">
        <v>269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280</v>
      </c>
      <c r="D122" s="235" t="s">
        <v>269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316</v>
      </c>
      <c r="D123" s="235" t="s">
        <v>269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321</v>
      </c>
      <c r="D124" s="235" t="s">
        <v>269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326</v>
      </c>
      <c r="D125" s="235" t="s">
        <v>269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331</v>
      </c>
      <c r="D126" s="235" t="s">
        <v>269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284</v>
      </c>
      <c r="D127" s="235" t="s">
        <v>269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288</v>
      </c>
      <c r="D128" s="235" t="s">
        <v>269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292</v>
      </c>
      <c r="D129" s="235" t="s">
        <v>269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296</v>
      </c>
      <c r="D130" s="235" t="s">
        <v>269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285</v>
      </c>
      <c r="D131" s="235" t="s">
        <v>269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289</v>
      </c>
      <c r="D132" s="235" t="s">
        <v>269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293</v>
      </c>
      <c r="D133" s="235" t="s">
        <v>269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297</v>
      </c>
      <c r="D134" s="235" t="s">
        <v>269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299</v>
      </c>
      <c r="D135" s="235" t="s">
        <v>269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303</v>
      </c>
      <c r="D136" s="235" t="s">
        <v>269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307</v>
      </c>
      <c r="D137" s="235" t="s">
        <v>269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311</v>
      </c>
      <c r="D138" s="235" t="s">
        <v>269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300</v>
      </c>
      <c r="D139" s="235" t="s">
        <v>269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304</v>
      </c>
      <c r="D140" s="235" t="s">
        <v>269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308</v>
      </c>
      <c r="D141" s="235" t="s">
        <v>269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312</v>
      </c>
      <c r="D142" s="235" t="s">
        <v>269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275</v>
      </c>
      <c r="D143" s="235" t="s">
        <v>269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277</v>
      </c>
      <c r="D144" s="235" t="s">
        <v>269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279</v>
      </c>
      <c r="D145" s="235" t="s">
        <v>269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281</v>
      </c>
      <c r="D146" s="235" t="s">
        <v>269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301</v>
      </c>
      <c r="D147" s="235" t="s">
        <v>269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305</v>
      </c>
      <c r="D148" s="235" t="s">
        <v>269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309</v>
      </c>
      <c r="D149" s="235" t="s">
        <v>269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313</v>
      </c>
      <c r="D150" s="235" t="s">
        <v>269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317</v>
      </c>
      <c r="D151" s="235" t="s">
        <v>269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322</v>
      </c>
      <c r="D152" s="235" t="s">
        <v>269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327</v>
      </c>
      <c r="D153" s="235" t="s">
        <v>269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332</v>
      </c>
      <c r="D154" s="235" t="s">
        <v>269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318</v>
      </c>
      <c r="D155" s="235" t="s">
        <v>269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323</v>
      </c>
      <c r="D156" s="235" t="s">
        <v>269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328</v>
      </c>
      <c r="D157" s="235" t="s">
        <v>269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333</v>
      </c>
      <c r="D158" s="235" t="s">
        <v>269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tabSelected="1" topLeftCell="A2" zoomScale="80" zoomScaleNormal="80" workbookViewId="0">
      <selection activeCell="AD35" sqref="AD3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Energieversorgung Netz Halle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441</v>
      </c>
      <c r="C5" s="64" t="str">
        <f>Netzbetreiber!D28</f>
        <v>Netz Halle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439</v>
      </c>
      <c r="C6" s="63">
        <f>Netzbetreiber!$D$11</f>
        <v>9870024000000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44470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4" t="s">
        <v>455</v>
      </c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59" t="s">
        <v>583</v>
      </c>
      <c r="C10" s="360"/>
      <c r="D10" s="94">
        <v>2</v>
      </c>
      <c r="E10" s="95" t="str">
        <f>IF(ISERROR(HLOOKUP(E$11,$M$9:$AD$35,$D10,0)),"",HLOOKUP(E$11,$M$9:$AD$35,$D10,0))</f>
        <v/>
      </c>
      <c r="F10" s="357" t="s">
        <v>395</v>
      </c>
      <c r="G10" s="357"/>
      <c r="H10" s="357"/>
      <c r="I10" s="357"/>
      <c r="J10" s="357"/>
      <c r="K10" s="357"/>
      <c r="L10" s="358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1</v>
      </c>
    </row>
    <row r="12" spans="2:30" ht="15">
      <c r="B12" s="109" t="s">
        <v>396</v>
      </c>
      <c r="C12" s="110"/>
      <c r="D12" s="111">
        <v>4</v>
      </c>
      <c r="E12" s="314">
        <f>MIN(SUMPRODUCT($M$11:$AD$11,M12:AD12),1)</f>
        <v>1</v>
      </c>
      <c r="F12" s="311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397</v>
      </c>
      <c r="C13" s="117"/>
      <c r="D13" s="111">
        <v>5</v>
      </c>
      <c r="E13" s="315">
        <f t="shared" ref="E13:E35" si="0">MIN(SUMPRODUCT($M$11:$AD$11,M13:AD13),1)</f>
        <v>1</v>
      </c>
      <c r="F13" s="312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>
        <v>1</v>
      </c>
    </row>
    <row r="14" spans="2:30" ht="15">
      <c r="B14" s="116" t="s">
        <v>398</v>
      </c>
      <c r="C14" s="117"/>
      <c r="D14" s="111">
        <v>6</v>
      </c>
      <c r="E14" s="315">
        <f t="shared" si="0"/>
        <v>0</v>
      </c>
      <c r="F14" s="312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400</v>
      </c>
      <c r="C15" s="117"/>
      <c r="D15" s="111">
        <v>7</v>
      </c>
      <c r="E15" s="315">
        <f t="shared" si="0"/>
        <v>0</v>
      </c>
      <c r="F15" s="312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412</v>
      </c>
      <c r="C16" s="117"/>
      <c r="D16" s="111">
        <v>8</v>
      </c>
      <c r="E16" s="315">
        <f t="shared" si="0"/>
        <v>1</v>
      </c>
      <c r="F16" s="312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413</v>
      </c>
      <c r="C17" s="117"/>
      <c r="D17" s="111">
        <v>9</v>
      </c>
      <c r="E17" s="315">
        <f t="shared" si="0"/>
        <v>1</v>
      </c>
      <c r="F17" s="312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414</v>
      </c>
      <c r="C18" s="117"/>
      <c r="D18" s="111">
        <v>10</v>
      </c>
      <c r="E18" s="315">
        <f t="shared" si="0"/>
        <v>1</v>
      </c>
      <c r="F18" s="312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651</v>
      </c>
      <c r="C19" s="340"/>
      <c r="D19" s="111"/>
      <c r="E19" s="315">
        <v>1</v>
      </c>
      <c r="F19" s="312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>
        <v>1</v>
      </c>
    </row>
    <row r="20" spans="2:30" ht="15">
      <c r="B20" s="121" t="s">
        <v>401</v>
      </c>
      <c r="C20" s="117"/>
      <c r="D20" s="111">
        <v>11</v>
      </c>
      <c r="E20" s="315">
        <f t="shared" si="0"/>
        <v>1</v>
      </c>
      <c r="F20" s="312" t="s">
        <v>392</v>
      </c>
      <c r="G20" s="80" t="s">
        <v>392</v>
      </c>
      <c r="H20" s="80" t="s">
        <v>392</v>
      </c>
      <c r="I20" s="80" t="s">
        <v>392</v>
      </c>
      <c r="J20" s="80" t="s">
        <v>392</v>
      </c>
      <c r="K20" s="80" t="s">
        <v>392</v>
      </c>
      <c r="L20" s="81" t="s">
        <v>392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649</v>
      </c>
      <c r="C21" s="117"/>
      <c r="D21" s="111">
        <v>12</v>
      </c>
      <c r="E21" s="315">
        <f t="shared" si="0"/>
        <v>1</v>
      </c>
      <c r="F21" s="312" t="s">
        <v>399</v>
      </c>
      <c r="G21" s="80" t="s">
        <v>399</v>
      </c>
      <c r="H21" s="80" t="s">
        <v>399</v>
      </c>
      <c r="I21" s="80" t="s">
        <v>392</v>
      </c>
      <c r="J21" s="80" t="s">
        <v>399</v>
      </c>
      <c r="K21" s="80" t="s">
        <v>399</v>
      </c>
      <c r="L21" s="81" t="s">
        <v>399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415</v>
      </c>
      <c r="C22" s="117"/>
      <c r="D22" s="111">
        <v>13</v>
      </c>
      <c r="E22" s="315">
        <f t="shared" si="0"/>
        <v>1</v>
      </c>
      <c r="F22" s="312" t="s">
        <v>399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416</v>
      </c>
      <c r="C23" s="117"/>
      <c r="D23" s="111">
        <v>14</v>
      </c>
      <c r="E23" s="315">
        <f t="shared" si="0"/>
        <v>0</v>
      </c>
      <c r="F23" s="312" t="s">
        <v>392</v>
      </c>
      <c r="G23" s="80" t="s">
        <v>399</v>
      </c>
      <c r="H23" s="80" t="s">
        <v>399</v>
      </c>
      <c r="I23" s="80" t="s">
        <v>399</v>
      </c>
      <c r="J23" s="80" t="s">
        <v>399</v>
      </c>
      <c r="K23" s="80" t="s">
        <v>399</v>
      </c>
      <c r="L23" s="81" t="s">
        <v>399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/>
    </row>
    <row r="24" spans="2:30" ht="15">
      <c r="B24" s="116" t="s">
        <v>417</v>
      </c>
      <c r="C24" s="117"/>
      <c r="D24" s="111">
        <v>15</v>
      </c>
      <c r="E24" s="315">
        <f t="shared" si="0"/>
        <v>0</v>
      </c>
      <c r="F24" s="312" t="s">
        <v>399</v>
      </c>
      <c r="G24" s="80" t="s">
        <v>399</v>
      </c>
      <c r="H24" s="80" t="s">
        <v>399</v>
      </c>
      <c r="I24" s="80" t="s">
        <v>392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402</v>
      </c>
      <c r="C25" s="117"/>
      <c r="D25" s="111">
        <v>16</v>
      </c>
      <c r="E25" s="315">
        <f t="shared" si="0"/>
        <v>0</v>
      </c>
      <c r="F25" s="312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403</v>
      </c>
      <c r="C26" s="117"/>
      <c r="D26" s="111">
        <v>17</v>
      </c>
      <c r="E26" s="315">
        <f t="shared" si="0"/>
        <v>0</v>
      </c>
      <c r="F26" s="312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650</v>
      </c>
      <c r="C27" s="340"/>
      <c r="D27" s="111"/>
      <c r="E27" s="315">
        <v>1</v>
      </c>
      <c r="F27" s="312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404</v>
      </c>
      <c r="C28" s="117"/>
      <c r="D28" s="111">
        <v>18</v>
      </c>
      <c r="E28" s="315">
        <f t="shared" si="0"/>
        <v>1</v>
      </c>
      <c r="F28" s="312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405</v>
      </c>
      <c r="C29" s="340"/>
      <c r="D29" s="341">
        <v>19</v>
      </c>
      <c r="E29" s="342">
        <v>1</v>
      </c>
      <c r="F29" s="312" t="s">
        <v>392</v>
      </c>
      <c r="G29" s="312" t="s">
        <v>392</v>
      </c>
      <c r="H29" s="312" t="s">
        <v>392</v>
      </c>
      <c r="I29" s="312" t="s">
        <v>392</v>
      </c>
      <c r="J29" s="312" t="s">
        <v>392</v>
      </c>
      <c r="K29" s="312" t="s">
        <v>392</v>
      </c>
      <c r="L29" s="312" t="s">
        <v>392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>
        <v>1</v>
      </c>
    </row>
    <row r="30" spans="2:30" ht="15">
      <c r="B30" s="116" t="s">
        <v>406</v>
      </c>
      <c r="C30" s="117"/>
      <c r="D30" s="111">
        <v>20</v>
      </c>
      <c r="E30" s="315">
        <f t="shared" si="0"/>
        <v>0</v>
      </c>
      <c r="F30" s="312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407</v>
      </c>
      <c r="C31" s="117"/>
      <c r="D31" s="111">
        <v>21</v>
      </c>
      <c r="E31" s="315">
        <f t="shared" si="0"/>
        <v>0</v>
      </c>
      <c r="F31" s="312" t="s">
        <v>399</v>
      </c>
      <c r="G31" s="80" t="s">
        <v>399</v>
      </c>
      <c r="H31" s="80" t="s">
        <v>392</v>
      </c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408</v>
      </c>
      <c r="C32" s="117"/>
      <c r="D32" s="111">
        <v>22</v>
      </c>
      <c r="E32" s="315">
        <f t="shared" si="0"/>
        <v>1</v>
      </c>
      <c r="F32" s="312" t="s">
        <v>391</v>
      </c>
      <c r="G32" s="80" t="s">
        <v>391</v>
      </c>
      <c r="H32" s="80" t="s">
        <v>391</v>
      </c>
      <c r="I32" s="80" t="s">
        <v>391</v>
      </c>
      <c r="J32" s="80" t="s">
        <v>391</v>
      </c>
      <c r="K32" s="80" t="s">
        <v>391</v>
      </c>
      <c r="L32" s="81" t="s">
        <v>392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>
        <v>1</v>
      </c>
    </row>
    <row r="33" spans="2:30" ht="15">
      <c r="B33" s="121" t="s">
        <v>409</v>
      </c>
      <c r="C33" s="117"/>
      <c r="D33" s="111">
        <v>23</v>
      </c>
      <c r="E33" s="315">
        <f t="shared" si="0"/>
        <v>1</v>
      </c>
      <c r="F33" s="312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410</v>
      </c>
      <c r="C34" s="117"/>
      <c r="D34" s="111">
        <v>24</v>
      </c>
      <c r="E34" s="315">
        <f t="shared" si="0"/>
        <v>1</v>
      </c>
      <c r="F34" s="312" t="s">
        <v>392</v>
      </c>
      <c r="G34" s="80" t="s">
        <v>392</v>
      </c>
      <c r="H34" s="80" t="s">
        <v>392</v>
      </c>
      <c r="I34" s="80" t="s">
        <v>392</v>
      </c>
      <c r="J34" s="80" t="s">
        <v>392</v>
      </c>
      <c r="K34" s="80" t="s">
        <v>392</v>
      </c>
      <c r="L34" s="81" t="s">
        <v>392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411</v>
      </c>
      <c r="C35" s="123"/>
      <c r="D35" s="124">
        <v>25</v>
      </c>
      <c r="E35" s="316">
        <f t="shared" si="0"/>
        <v>1</v>
      </c>
      <c r="F35" s="313" t="s">
        <v>391</v>
      </c>
      <c r="G35" s="82" t="s">
        <v>391</v>
      </c>
      <c r="H35" s="82" t="s">
        <v>391</v>
      </c>
      <c r="I35" s="82" t="s">
        <v>391</v>
      </c>
      <c r="J35" s="82" t="s">
        <v>391</v>
      </c>
      <c r="K35" s="82" t="s">
        <v>391</v>
      </c>
      <c r="L35" s="83" t="s">
        <v>392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>
        <v>1</v>
      </c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8" priority="9">
      <formula>IF(E$11="NB",1,0)</formula>
    </cfRule>
  </conditionalFormatting>
  <conditionalFormatting sqref="F12:L35">
    <cfRule type="expression" dxfId="7" priority="6">
      <formula>IF($E12=1,1,0)</formula>
    </cfRule>
  </conditionalFormatting>
  <conditionalFormatting sqref="M12:AD35">
    <cfRule type="expression" dxfId="6" priority="3">
      <formula>IF(M$11=1,1)</formula>
    </cfRule>
  </conditionalFormatting>
  <conditionalFormatting sqref="M9:AD10">
    <cfRule type="expression" dxfId="5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452</v>
      </c>
      <c r="B1" s="128"/>
      <c r="D1" s="217" t="s">
        <v>545</v>
      </c>
    </row>
    <row r="2" spans="1:16">
      <c r="A2" s="237"/>
      <c r="B2" s="236" t="s">
        <v>453</v>
      </c>
    </row>
    <row r="3" spans="1:16" ht="20.100000000000001" customHeight="1">
      <c r="A3" s="361" t="s">
        <v>249</v>
      </c>
      <c r="B3" s="238" t="s">
        <v>86</v>
      </c>
      <c r="C3" s="239"/>
      <c r="D3" s="363" t="s">
        <v>454</v>
      </c>
      <c r="E3" s="364"/>
      <c r="F3" s="364"/>
      <c r="G3" s="364"/>
      <c r="H3" s="364"/>
      <c r="I3" s="364"/>
      <c r="J3" s="365"/>
      <c r="K3" s="240"/>
      <c r="L3" s="240"/>
      <c r="M3" s="240"/>
      <c r="N3" s="240"/>
      <c r="O3" s="241"/>
      <c r="P3" s="240"/>
    </row>
    <row r="4" spans="1:16" ht="20.100000000000001" customHeight="1">
      <c r="A4" s="362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365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365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4" priority="2" stopIfTrue="1" operator="equal">
      <formula>$M7</formula>
    </cfRule>
  </conditionalFormatting>
  <conditionalFormatting sqref="D9:J9">
    <cfRule type="cellIs" dxfId="3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b9f00-f4e5-4488-840e-6084e0f1107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Jankowski, Martin</cp:lastModifiedBy>
  <cp:lastPrinted>2015-03-20T22:59:10Z</cp:lastPrinted>
  <dcterms:created xsi:type="dcterms:W3CDTF">2015-01-15T05:25:41Z</dcterms:created>
  <dcterms:modified xsi:type="dcterms:W3CDTF">2022-09-23T07:29:38Z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