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NM\NMR\NMM_Jankowski\Gas\Gasnetzbetreibernummern\"/>
    </mc:Choice>
  </mc:AlternateContent>
  <bookViews>
    <workbookView xWindow="-105" yWindow="-105" windowWidth="19425" windowHeight="10425" tabRatio="789" activeTab="7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7" l="1"/>
  <c r="E6" i="17"/>
  <c r="E4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M12" i="7"/>
  <c r="I12" i="7"/>
  <c r="N11" i="7"/>
  <c r="L11" i="7"/>
  <c r="H11" i="7"/>
  <c r="I13" i="7"/>
  <c r="L14" i="7"/>
  <c r="K15" i="7"/>
  <c r="O12" i="7"/>
  <c r="P11" i="7"/>
  <c r="N13" i="7"/>
  <c r="I14" i="7"/>
  <c r="H15" i="7"/>
  <c r="P15" i="7"/>
  <c r="P12" i="7"/>
  <c r="M11" i="7"/>
  <c r="H13" i="7"/>
  <c r="L13" i="7"/>
  <c r="P13" i="7"/>
  <c r="K14" i="7"/>
  <c r="O14" i="7"/>
  <c r="J15" i="7"/>
  <c r="N15" i="7"/>
  <c r="N12" i="7"/>
  <c r="J12" i="7"/>
  <c r="O11" i="7"/>
  <c r="J11" i="7"/>
  <c r="M13" i="7"/>
  <c r="H14" i="7"/>
  <c r="P14" i="7"/>
  <c r="O15" i="7"/>
  <c r="K12" i="7"/>
  <c r="K11" i="7"/>
  <c r="J13" i="7"/>
  <c r="M14" i="7"/>
  <c r="L15" i="7"/>
  <c r="L12" i="7"/>
  <c r="H12" i="7"/>
  <c r="I11" i="7"/>
  <c r="F15" i="7"/>
  <c r="F12" i="7"/>
  <c r="F14" i="7"/>
  <c r="F13" i="7"/>
  <c r="F11" i="7"/>
  <c r="M8" i="4"/>
  <c r="M7" i="4"/>
  <c r="C5" i="1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<sst xmlns="http://schemas.openxmlformats.org/spreadsheetml/2006/main" count="1374" uniqueCount="670">
  <si>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</si>
  <si>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</si>
  <si>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</si>
  <si>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</si>
  <si>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</si>
  <si>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</si>
  <si>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</si>
  <si>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</si>
  <si>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</si>
  <si>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</si>
  <si>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</si>
  <si>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</si>
  <si>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</si>
  <si>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</si>
  <si>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</si>
  <si>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</si>
  <si>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</si>
  <si>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</si>
  <si>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</si>
  <si>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</si>
  <si>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</si>
  <si>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</si>
  <si>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</si>
  <si>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</si>
  <si>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</si>
  <si>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</si>
  <si>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</si>
  <si>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</si>
  <si>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</si>
  <si>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</si>
  <si>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</si>
  <si>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</si>
  <si>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</si>
  <si>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</si>
  <si>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</si>
  <si>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</si>
  <si>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</si>
  <si>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</si>
  <si>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</si>
  <si>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</si>
  <si>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</si>
  <si>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</si>
  <si>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</si>
  <si>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</si>
  <si>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</si>
  <si>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</si>
  <si>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</si>
  <si>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</si>
  <si>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</si>
  <si>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</si>
  <si>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</si>
  <si>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</si>
  <si>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</si>
  <si>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</si>
  <si>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</si>
  <si>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</si>
  <si>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</si>
  <si>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</si>
  <si>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</si>
  <si>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</si>
  <si>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</si>
  <si>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</si>
  <si>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</si>
  <si>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</si>
  <si>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</si>
  <si>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</si>
  <si>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</si>
  <si>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</si>
  <si>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</si>
  <si>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</si>
  <si>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</si>
  <si>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</si>
  <si>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</si>
  <si>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</si>
  <si>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</si>
  <si>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</si>
  <si>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</si>
  <si>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</si>
  <si>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</si>
  <si>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</si>
  <si>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</si>
  <si>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</si>
  <si>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</si>
  <si>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</si>
  <si>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</si>
  <si>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</si>
  <si>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</si>
  <si>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</si>
  <si>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</si>
  <si>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</si>
  <si>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</si>
  <si>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</si>
  <si>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</si>
  <si>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</si>
  <si>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</si>
  <si>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</si>
  <si>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</si>
  <si>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</si>
  <si>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</si>
  <si>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</si>
  <si>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</si>
  <si>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</si>
  <si>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</si>
  <si>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</si>
  <si>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</si>
  <si>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</si>
  <si>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</si>
  <si>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</si>
  <si>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</si>
  <si>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</si>
  <si>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</si>
  <si>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</si>
  <si>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</si>
  <si>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</si>
  <si>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</si>
  <si>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</si>
  <si>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</si>
  <si>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</si>
  <si>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</si>
  <si>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</si>
  <si>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</si>
  <si>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</si>
  <si>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</si>
  <si>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</si>
  <si>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</si>
  <si>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</si>
  <si>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</si>
  <si>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</si>
  <si>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</si>
  <si>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</si>
  <si>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</si>
  <si>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</si>
  <si>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</si>
  <si>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</si>
  <si>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</si>
  <si>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</si>
  <si>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</si>
  <si>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</si>
  <si>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</si>
  <si>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</si>
  <si>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</si>
  <si>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</si>
  <si>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</si>
  <si>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</si>
  <si>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</si>
  <si>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</si>
  <si>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</si>
  <si>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</si>
  <si>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</si>
  <si>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</si>
  <si>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</si>
  <si>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</si>
  <si>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</si>
  <si>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</si>
  <si>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</si>
  <si>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</si>
  <si>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</si>
  <si>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</si>
  <si>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</si>
  <si>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</si>
  <si>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</si>
  <si>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</si>
  <si>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</si>
  <si>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</si>
  <si>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</si>
  <si>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</si>
  <si>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</si>
  <si>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</si>
  <si>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</si>
  <si>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</si>
  <si>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</si>
  <si>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</si>
  <si>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</si>
  <si>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</si>
  <si>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</si>
  <si>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</si>
  <si>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</si>
  <si>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</si>
  <si>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</si>
  <si>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</si>
  <si>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</si>
  <si>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</si>
  <si>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</si>
  <si>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</si>
  <si>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</si>
  <si>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</si>
  <si>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</si>
  <si>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</si>
  <si>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</si>
  <si>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</si>
  <si>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</si>
  <si>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</si>
  <si>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</si>
  <si>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</si>
  <si>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</si>
  <si>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</si>
  <si>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</si>
  <si>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</si>
  <si>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</si>
  <si>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</si>
  <si>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</si>
  <si>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</si>
  <si>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</si>
  <si>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</si>
  <si>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</si>
  <si>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</si>
  <si>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</si>
  <si>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</si>
  <si>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</si>
  <si>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</si>
  <si>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</si>
  <si>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</si>
  <si>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</si>
  <si>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</si>
  <si>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</si>
  <si>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</si>
  <si>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</si>
  <si>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</si>
  <si>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</si>
  <si>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</si>
  <si>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</si>
  <si>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</si>
  <si>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</si>
  <si>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</si>
  <si>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</si>
  <si>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</si>
  <si>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</si>
  <si>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</si>
  <si>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</si>
  <si>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</si>
  <si>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</si>
  <si>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</si>
  <si>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</si>
  <si>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</si>
  <si>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</si>
  <si>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</si>
  <si>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</si>
  <si>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</si>
  <si>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</si>
  <si>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</si>
  <si>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</si>
  <si>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</si>
  <si>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</si>
  <si>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</si>
  <si>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</si>
  <si>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</si>
  <si>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</si>
  <si>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</si>
  <si>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</si>
  <si>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</si>
  <si>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</si>
  <si>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</si>
  <si>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</si>
  <si>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</si>
  <si>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</si>
  <si>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</si>
  <si>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</si>
  <si>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</si>
  <si>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</si>
  <si>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</si>
  <si>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</si>
  <si>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</si>
  <si>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</si>
  <si>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</si>
  <si>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</si>
  <si>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</si>
  <si>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</si>
  <si>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</si>
  <si>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</si>
  <si>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</si>
  <si>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</si>
  <si>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</si>
  <si>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</si>
  <si>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</si>
  <si>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</si>
  <si>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</si>
  <si>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</si>
  <si>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</si>
  <si>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</si>
  <si>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</si>
  <si>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</si>
  <si>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</si>
  <si>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</si>
  <si>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</si>
  <si>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</si>
  <si>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</si>
  <si>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</si>
  <si>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</si>
  <si>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</si>
  <si>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</si>
  <si>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</si>
  <si>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</si>
  <si>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</si>
  <si>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</si>
  <si>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</si>
  <si>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</si>
  <si>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</si>
  <si>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</si>
  <si>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</si>
  <si>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</si>
  <si>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</si>
  <si>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</si>
  <si>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</si>
  <si>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</si>
  <si>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</si>
  <si>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</si>
  <si>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</si>
  <si>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</si>
  <si>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</si>
  <si>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</si>
  <si>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</si>
  <si>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</si>
  <si>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</si>
  <si>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</si>
  <si>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</si>
  <si>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</si>
  <si>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</si>
  <si>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</si>
  <si>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</si>
  <si>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</si>
  <si>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</si>
  <si>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</si>
  <si>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</si>
  <si>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</si>
  <si>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</si>
  <si>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</si>
  <si>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</si>
  <si>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</si>
  <si>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</si>
  <si>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</si>
  <si>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</si>
  <si>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</si>
  <si>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</si>
  <si>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</si>
  <si>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</si>
  <si>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</si>
  <si>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</si>
  <si>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</si>
  <si>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</si>
  <si>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</si>
  <si>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</si>
  <si>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</si>
  <si>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</si>
  <si>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</si>
  <si>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</si>
  <si>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</si>
  <si>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</si>
  <si>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</si>
  <si>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</si>
  <si>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</si>
  <si>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</si>
  <si>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</si>
  <si>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</si>
  <si>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</si>
  <si>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</si>
  <si>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</si>
  <si>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</si>
  <si>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</si>
  <si>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</si>
  <si>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</si>
  <si>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</si>
  <si>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</si>
  <si>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</si>
  <si>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</si>
  <si>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</si>
  <si>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</si>
  <si>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</si>
  <si>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</si>
  <si>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</si>
  <si>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</si>
  <si>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</si>
  <si>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</si>
  <si>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</si>
  <si>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</si>
  <si>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</si>
  <si>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</si>
  <si>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</si>
  <si>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</si>
  <si>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</si>
  <si>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</si>
  <si>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</si>
  <si>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</si>
  <si>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</si>
  <si>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</si>
  <si>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</si>
  <si>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</si>
  <si>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</si>
  <si>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</si>
  <si>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</si>
  <si>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</si>
  <si>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</si>
  <si>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</si>
  <si>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</si>
  <si>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</si>
  <si>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</si>
  <si>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</si>
  <si>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</si>
  <si>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</si>
  <si>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</si>
  <si>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</si>
  <si>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</si>
  <si>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</si>
  <si>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</si>
  <si>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</si>
  <si>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</si>
  <si>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</si>
  <si>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</si>
  <si>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</si>
  <si>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</si>
  <si>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</si>
  <si>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</si>
  <si>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</si>
  <si>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</si>
  <si>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</si>
  <si>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</si>
  <si>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</si>
  <si>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</si>
  <si>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</si>
  <si>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</si>
  <si>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</si>
  <si>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</si>
  <si>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</si>
  <si>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</si>
  <si>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</si>
  <si>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</si>
  <si>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</si>
  <si>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</si>
  <si>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</si>
  <si>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</si>
  <si>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</si>
  <si>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</si>
  <si>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</si>
  <si>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</si>
  <si>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</si>
  <si>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</si>
  <si>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</si>
  <si>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</si>
  <si>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</si>
  <si>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</si>
  <si>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</si>
  <si>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</si>
  <si>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</si>
  <si>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</si>
  <si>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</si>
  <si>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</si>
  <si>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</si>
  <si>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</si>
  <si>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</si>
  <si>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</si>
  <si>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</si>
  <si>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</si>
  <si>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</si>
  <si>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</si>
  <si>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</si>
  <si>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</si>
  <si>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</si>
  <si>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</si>
  <si>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</si>
  <si>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</si>
  <si>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</si>
  <si>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</si>
  <si>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</si>
  <si>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</si>
  <si>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</si>
  <si>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</si>
  <si>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</si>
  <si>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</si>
  <si>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</si>
  <si>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</si>
  <si>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</si>
  <si>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</si>
  <si>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</si>
  <si>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</si>
  <si>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</si>
  <si>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</si>
  <si>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</si>
  <si>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</si>
  <si>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</si>
  <si>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</si>
  <si>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</si>
  <si>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</si>
  <si>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</si>
  <si>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</si>
  <si>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</si>
  <si>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</si>
  <si>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</si>
  <si>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</si>
  <si>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</si>
  <si>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</si>
  <si>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</si>
  <si>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</si>
  <si>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</si>
  <si>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</si>
  <si>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</si>
  <si>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</si>
  <si>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</si>
  <si>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</si>
  <si>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</si>
  <si>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</si>
  <si>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</si>
  <si>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</si>
  <si>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</si>
  <si>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</si>
  <si>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</si>
  <si>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</si>
  <si>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</si>
  <si>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</si>
  <si>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</si>
  <si>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</si>
  <si>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</si>
  <si>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</si>
  <si>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</si>
  <si>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</si>
  <si>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</si>
  <si>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</si>
  <si>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</si>
  <si>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</si>
  <si>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</si>
  <si>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</si>
  <si>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</si>
  <si>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</si>
  <si>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</si>
  <si>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</si>
  <si>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</si>
  <si>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</si>
  <si>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</si>
  <si>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</si>
  <si>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</si>
  <si>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</si>
  <si>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</si>
  <si>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</si>
  <si>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</si>
  <si>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</si>
  <si>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</si>
  <si>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</si>
  <si>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</si>
  <si>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</si>
  <si>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</si>
  <si>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</si>
  <si>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</si>
  <si>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</si>
  <si>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</si>
  <si>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</si>
  <si>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</si>
  <si>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</si>
  <si>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</si>
  <si>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</si>
  <si>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</si>
  <si>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</si>
  <si>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</si>
  <si>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</si>
  <si>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</si>
  <si>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</si>
  <si>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</si>
  <si>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</si>
  <si>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</si>
  <si>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</si>
  <si>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</si>
  <si>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</si>
  <si>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</si>
  <si>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</si>
  <si>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</si>
  <si>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</si>
  <si>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</si>
  <si>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</si>
  <si>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</si>
  <si>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</si>
  <si>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</si>
  <si>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</si>
  <si>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</si>
  <si>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</si>
  <si>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</si>
  <si>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</si>
  <si>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</si>
  <si>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</si>
  <si>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</si>
  <si>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</si>
  <si>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</si>
  <si>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</si>
  <si>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</si>
  <si>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</si>
  <si>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</si>
  <si>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</si>
  <si>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</si>
  <si>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</si>
  <si>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</si>
  <si>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</si>
  <si>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</si>
  <si>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</si>
  <si>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</si>
  <si>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</si>
  <si>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</si>
  <si>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</si>
  <si>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</si>
  <si>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</si>
  <si>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</si>
  <si>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</si>
  <si>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</si>
  <si>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</si>
  <si>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</si>
  <si>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</si>
  <si>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</si>
  <si>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</si>
  <si>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</si>
  <si>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</si>
  <si>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</si>
  <si>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</si>
  <si>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</si>
  <si>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</si>
  <si>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</si>
  <si>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</si>
  <si>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</si>
  <si>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</si>
  <si>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</si>
  <si>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</si>
  <si>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</si>
  <si>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</si>
  <si>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</si>
  <si>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</si>
  <si>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</si>
  <si>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</si>
  <si>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</si>
  <si>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</si>
  <si>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</si>
  <si>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</si>
  <si>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</si>
  <si>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</si>
  <si>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</si>
  <si>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</si>
  <si>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</si>
  <si>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</si>
  <si>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</si>
  <si>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</si>
  <si>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</si>
  <si>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</si>
  <si>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</si>
  <si>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</si>
  <si>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</si>
  <si>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</si>
  <si>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</si>
  <si>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</si>
  <si>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</si>
  <si>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</si>
  <si>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</si>
  <si>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</si>
  <si>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</si>
  <si>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</si>
  <si>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</si>
  <si>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</si>
  <si>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</si>
  <si>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</si>
  <si>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</si>
  <si>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</si>
  <si>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</si>
  <si>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</si>
  <si>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</si>
  <si>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</si>
  <si>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Energieversorgung Netz Halle GmbH</t>
  </si>
  <si>
    <t>Zum Heizkraftwerk 12</t>
  </si>
  <si>
    <t>Halle (Saale)</t>
  </si>
  <si>
    <t>Alexander Jung</t>
  </si>
  <si>
    <t>edm@netzhalle.de</t>
  </si>
  <si>
    <t>0345/581-7542</t>
  </si>
  <si>
    <t>Netz Halle</t>
  </si>
  <si>
    <t>THE0NKH700240000</t>
  </si>
  <si>
    <t>Halle</t>
  </si>
  <si>
    <t>Halle Trotha</t>
  </si>
  <si>
    <t>DE_HEF34</t>
  </si>
  <si>
    <t>DE_HMF34</t>
  </si>
  <si>
    <t>DE_GHD34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</si>
</sst>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theme="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he083\Downloads\SLP%20&#8211;%20verfahrensspezifische%20Parameter%20ab%20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@netzhall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3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" sqref="D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66">
        <v>9870024000000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6112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67" t="s">
        <v>661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Netz Halle</v>
      </c>
      <c r="E28" s="38"/>
      <c r="F28" s="11"/>
      <c r="G28" s="2"/>
    </row>
    <row r="29" spans="1:15">
      <c r="B29" s="15"/>
      <c r="C29" s="22" t="s">
        <v>393</v>
      </c>
      <c r="D29" s="44" t="s">
        <v>663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22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Energieversorgung Netz Halle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Netz Halle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>
        <f>Netzbetreiber!$D$11</f>
        <v>9870024000000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4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665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B46" zoomScaleNormal="100" workbookViewId="0">
      <selection activeCell="E33" sqref="E33:H33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Netzbetreiber!D9</f>
        <v>Energieversorgung Netz Halle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Netz Halle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68">
        <f>Netzbetreiber!D11</f>
        <v>9870024000000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f>Netzbetreiber!D6</f>
        <v>44470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Halle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584</v>
      </c>
      <c r="D13" s="351"/>
      <c r="E13" s="351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445</v>
      </c>
      <c r="D14" s="352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2" t="s">
        <v>385</v>
      </c>
      <c r="D15" s="352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/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502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666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10465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0.56110000000000004</v>
      </c>
      <c r="F32" s="287">
        <f>ROUND(F33/$D$33,4)</f>
        <v>0.15559999999999999</v>
      </c>
      <c r="G32" s="287">
        <f t="shared" ref="G32:N32" si="3">ROUND(G33/$D$33,4)</f>
        <v>8.5699999999999998E-2</v>
      </c>
      <c r="H32" s="287">
        <f t="shared" si="3"/>
        <v>0.1976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</v>
      </c>
      <c r="E33" s="288">
        <v>0.56110000000000004</v>
      </c>
      <c r="F33" s="288">
        <v>0.15559999999999999</v>
      </c>
      <c r="G33" s="288">
        <v>8.5699999999999998E-2</v>
      </c>
      <c r="H33" s="288">
        <v>0.1976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Halle Trotha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10465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0.56110000000000004</v>
      </c>
      <c r="F66" s="287">
        <f>ROUND(F67/$D$67,4)</f>
        <v>0.15559999999999999</v>
      </c>
      <c r="G66" s="287">
        <f t="shared" ref="G66:N66" si="12">ROUND(G67/$D$67,4)</f>
        <v>8.5699999999999998E-2</v>
      </c>
      <c r="H66" s="287">
        <f t="shared" si="12"/>
        <v>0.1976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</v>
      </c>
      <c r="E67" s="295">
        <f>E33</f>
        <v>0.56110000000000004</v>
      </c>
      <c r="F67" s="295">
        <f t="shared" ref="F67:N67" si="13">F33</f>
        <v>0.15559999999999999</v>
      </c>
      <c r="G67" s="295">
        <f t="shared" si="13"/>
        <v>8.5699999999999998E-2</v>
      </c>
      <c r="H67" s="295">
        <f t="shared" si="13"/>
        <v>0.1976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3" t="s">
        <v>580</v>
      </c>
      <c r="D73" s="353"/>
      <c r="E73" s="353"/>
      <c r="F73" s="353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9" priority="28">
      <formula>IF(E$20&lt;=$F$18,1,0)</formula>
    </cfRule>
  </conditionalFormatting>
  <conditionalFormatting sqref="E33:N37">
    <cfRule type="expression" dxfId="48" priority="27">
      <formula>IF(E$31&lt;=$F$29,1,0)</formula>
    </cfRule>
  </conditionalFormatting>
  <conditionalFormatting sqref="E26:N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7:N60">
    <cfRule type="expression" dxfId="45" priority="22">
      <formula>IF(E$55&lt;=$F$53,1,0)</formula>
    </cfRule>
  </conditionalFormatting>
  <conditionalFormatting sqref="E61:N61">
    <cfRule type="expression" dxfId="44" priority="21">
      <formula>IF(E$55&lt;=$F$53,1,0)</formula>
    </cfRule>
  </conditionalFormatting>
  <conditionalFormatting sqref="E67:N69">
    <cfRule type="expression" dxfId="43" priority="15">
      <formula>IF(E$65&lt;=$F$63,1,0)</formula>
    </cfRule>
  </conditionalFormatting>
  <conditionalFormatting sqref="E66:N69 E71:N71">
    <cfRule type="expression" dxfId="42" priority="13">
      <formula>IF(E$65&gt;$F$63,1,0)</formula>
    </cfRule>
  </conditionalFormatting>
  <conditionalFormatting sqref="E57:N61">
    <cfRule type="expression" dxfId="41" priority="12">
      <formula>IF(E$55&gt;$F$53,1,0)</formula>
    </cfRule>
  </conditionalFormatting>
  <conditionalFormatting sqref="E21:N26">
    <cfRule type="expression" dxfId="40" priority="11">
      <formula>IF(E$20&gt;$F$18,1,0)</formula>
    </cfRule>
  </conditionalFormatting>
  <conditionalFormatting sqref="E33:N37">
    <cfRule type="expression" dxfId="39" priority="10">
      <formula>IF(E$31&gt;$F$29,1,0)</formula>
    </cfRule>
  </conditionalFormatting>
  <conditionalFormatting sqref="H11 H8:H9">
    <cfRule type="expression" dxfId="38" priority="9">
      <formula>IF($F$9=1,1,0)</formula>
    </cfRule>
  </conditionalFormatting>
  <conditionalFormatting sqref="E56:N56">
    <cfRule type="expression" dxfId="37" priority="8">
      <formula>IF(E$55&gt;$F$53,1,0)</formula>
    </cfRule>
  </conditionalFormatting>
  <conditionalFormatting sqref="E32:N32">
    <cfRule type="expression" dxfId="36" priority="7">
      <formula>IF(E$31&gt;$F$29,1,0)</formula>
    </cfRule>
  </conditionalFormatting>
  <conditionalFormatting sqref="E71:N71">
    <cfRule type="expression" dxfId="35" priority="6">
      <formula>IF(E$65&lt;=$F$63,1,0)</formula>
    </cfRule>
  </conditionalFormatting>
  <conditionalFormatting sqref="H10">
    <cfRule type="expression" dxfId="34" priority="5">
      <formula>IF($F$9=1,1,0)</formula>
    </cfRule>
  </conditionalFormatting>
  <conditionalFormatting sqref="E70:N70">
    <cfRule type="expression" dxfId="33" priority="2">
      <formula>IF(E$65&lt;=$F$63,1,0)</formula>
    </cfRule>
  </conditionalFormatting>
  <conditionalFormatting sqref="E70:N70">
    <cfRule type="expression" dxfId="32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F37:N37 F25:N25 E57:N60 E22:F22 I22:N22 F53 F63 G24:N24 G71:N71 E34:N35 E70:N70 I33:N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Netz Halle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584</v>
      </c>
      <c r="D13" s="351"/>
      <c r="E13" s="351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445</v>
      </c>
      <c r="D14" s="352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2" t="s">
        <v>385</v>
      </c>
      <c r="D15" s="352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3" t="s">
        <v>580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Y12" sqref="Y12:Y1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Energieversorgung Netz Halle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Netz Halle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>
        <f>Netzbetreiber!$D$11</f>
        <v>9870024000000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44470</v>
      </c>
      <c r="E8" s="130"/>
      <c r="F8" s="130"/>
      <c r="H8" s="128" t="s">
        <v>493</v>
      </c>
      <c r="J8" s="132">
        <f>COUNTA(D12:D100)</f>
        <v>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Netz Halle</v>
      </c>
      <c r="D12" s="62" t="s">
        <v>248</v>
      </c>
      <c r="E12" s="165" t="s">
        <v>667</v>
      </c>
      <c r="F12" s="307" t="str">
        <f>VLOOKUP($E12,'BDEW-Standard'!$B$3:$M$94,F$9,0)</f>
        <v>1D4</v>
      </c>
      <c r="H12" s="278">
        <f>ROUND(VLOOKUP($E12,'BDEW-Standard'!$B$3:$M$94,H$9,0),7)</f>
        <v>1.3819663</v>
      </c>
      <c r="I12" s="278">
        <f>ROUND(VLOOKUP($E12,'BDEW-Standard'!$B$3:$M$94,I$9,0),7)</f>
        <v>-37.412415500000002</v>
      </c>
      <c r="J12" s="278">
        <f>ROUND(VLOOKUP($E12,'BDEW-Standard'!$B$3:$M$94,J$9,0),7)</f>
        <v>6.1723179000000004</v>
      </c>
      <c r="K12" s="278">
        <f>ROUND(VLOOKUP($E12,'BDEW-Standard'!$B$3:$M$94,K$9,0),7)</f>
        <v>3.9628400000000001E-2</v>
      </c>
      <c r="L12" s="279">
        <f>ROUND(VLOOKUP($E12,'BDEW-Standard'!$B$3:$M$94,L$9,0),1)</f>
        <v>40</v>
      </c>
      <c r="M12" s="278">
        <f>ROUND(VLOOKUP($E12,'BDEW-Standard'!$B$3:$M$94,M$9,0),7)</f>
        <v>-6.7215899999999995E-2</v>
      </c>
      <c r="N12" s="278">
        <f>ROUND(VLOOKUP($E12,'BDEW-Standard'!$B$3:$M$94,N$9,0),7)</f>
        <v>1.1167138000000001</v>
      </c>
      <c r="O12" s="278">
        <f>ROUND(VLOOKUP($E12,'BDEW-Standard'!$B$3:$M$94,O$9,0),7)</f>
        <v>-1.9981999999999999E-3</v>
      </c>
      <c r="P12" s="278">
        <f>ROUND(VLOOKUP($E12,'BDEW-Standard'!$B$3:$M$94,P$9,0),7)</f>
        <v>0.13550699999999999</v>
      </c>
      <c r="Q12" s="280">
        <f t="shared" ref="Q12:Q26" si="1">($H12/(1+($I12/($Q$9-$L12))^$J12)+$K12)+MAX($M12*$Q$9+$N12,$O12*$Q$9+$P12)</f>
        <v>0.99999978578617399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>
        <v>330.86808300000001</v>
      </c>
      <c r="Z12" s="212"/>
    </row>
    <row r="13" spans="2:26" s="143" customFormat="1">
      <c r="B13" s="144">
        <v>2</v>
      </c>
      <c r="C13" s="145" t="str">
        <f t="shared" si="0"/>
        <v>Netz Halle</v>
      </c>
      <c r="D13" s="62" t="s">
        <v>248</v>
      </c>
      <c r="E13" s="165" t="s">
        <v>668</v>
      </c>
      <c r="F13" s="307" t="str">
        <f>VLOOKUP($E13,'BDEW-Standard'!$B$3:$M$94,F$9,0)</f>
        <v>2D4</v>
      </c>
      <c r="H13" s="278">
        <f>ROUND(VLOOKUP($E13,'BDEW-Standard'!$B$3:$M$94,H$9,0),7)</f>
        <v>1.0443538000000001</v>
      </c>
      <c r="I13" s="278">
        <f>ROUND(VLOOKUP($E13,'BDEW-Standard'!$B$3:$M$94,I$9,0),7)</f>
        <v>-35.033375399999997</v>
      </c>
      <c r="J13" s="278">
        <f>ROUND(VLOOKUP($E13,'BDEW-Standard'!$B$3:$M$94,J$9,0),7)</f>
        <v>6.2240634000000004</v>
      </c>
      <c r="K13" s="278">
        <f>ROUND(VLOOKUP($E13,'BDEW-Standard'!$B$3:$M$94,K$9,0),7)</f>
        <v>5.0291700000000002E-2</v>
      </c>
      <c r="L13" s="279">
        <f>ROUND(VLOOKUP($E13,'BDEW-Standard'!$B$3:$M$94,L$9,0),1)</f>
        <v>40</v>
      </c>
      <c r="M13" s="278">
        <f>ROUND(VLOOKUP($E13,'BDEW-Standard'!$B$3:$M$94,M$9,0),7)</f>
        <v>-5.3582999999999999E-2</v>
      </c>
      <c r="N13" s="278">
        <f>ROUND(VLOOKUP($E13,'BDEW-Standard'!$B$3:$M$94,N$9,0),7)</f>
        <v>0.99959010000000004</v>
      </c>
      <c r="O13" s="278">
        <f>ROUND(VLOOKUP($E13,'BDEW-Standard'!$B$3:$M$94,O$9,0),7)</f>
        <v>-2.1757999999999999E-3</v>
      </c>
      <c r="P13" s="278">
        <f>ROUND(VLOOKUP($E13,'BDEW-Standard'!$B$3:$M$94,P$9,0),7)</f>
        <v>0.1633299</v>
      </c>
      <c r="Q13" s="280">
        <f t="shared" si="1"/>
        <v>1.0000001838008261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26" si="2">7-SUM(R13:W13)</f>
        <v>1</v>
      </c>
      <c r="Y13" s="303">
        <v>322.13137740000002</v>
      </c>
      <c r="Z13" s="212"/>
    </row>
    <row r="14" spans="2:26" s="143" customFormat="1">
      <c r="B14" s="144">
        <v>3</v>
      </c>
      <c r="C14" s="145" t="str">
        <f t="shared" si="0"/>
        <v>Netz Halle</v>
      </c>
      <c r="D14" s="62" t="s">
        <v>248</v>
      </c>
      <c r="E14" s="165" t="s">
        <v>669</v>
      </c>
      <c r="F14" s="307" t="str">
        <f>VLOOKUP($E14,'BDEW-Standard'!$B$3:$M$94,F$9,0)</f>
        <v>DH4</v>
      </c>
      <c r="H14" s="278">
        <f>ROUND(VLOOKUP($E14,'BDEW-Standard'!$B$3:$M$94,H$9,0),7)</f>
        <v>1.2569600000000001</v>
      </c>
      <c r="I14" s="278">
        <f>ROUND(VLOOKUP($E14,'BDEW-Standard'!$B$3:$M$94,I$9,0),7)</f>
        <v>-36.607845300000001</v>
      </c>
      <c r="J14" s="278">
        <f>ROUND(VLOOKUP($E14,'BDEW-Standard'!$B$3:$M$94,J$9,0),7)</f>
        <v>7.3211870000000001</v>
      </c>
      <c r="K14" s="278">
        <f>ROUND(VLOOKUP($E14,'BDEW-Standard'!$B$3:$M$94,K$9,0),7)</f>
        <v>7.7696000000000001E-2</v>
      </c>
      <c r="L14" s="279">
        <f>ROUND(VLOOKUP($E14,'BDEW-Standard'!$B$3:$M$94,L$9,0),1)</f>
        <v>40</v>
      </c>
      <c r="M14" s="278">
        <f>ROUND(VLOOKUP($E14,'BDEW-Standard'!$B$3:$M$94,M$9,0),7)</f>
        <v>-6.9682599999999997E-2</v>
      </c>
      <c r="N14" s="278">
        <f>ROUND(VLOOKUP($E14,'BDEW-Standard'!$B$3:$M$94,N$9,0),7)</f>
        <v>1.1379702</v>
      </c>
      <c r="O14" s="278">
        <f>ROUND(VLOOKUP($E14,'BDEW-Standard'!$B$3:$M$94,O$9,0),7)</f>
        <v>-8.5220000000000001E-4</v>
      </c>
      <c r="P14" s="278">
        <f>ROUND(VLOOKUP($E14,'BDEW-Standard'!$B$3:$M$94,P$9,0),7)</f>
        <v>0.19210679999999999</v>
      </c>
      <c r="Q14" s="280">
        <f t="shared" si="1"/>
        <v>0.99999998900648401</v>
      </c>
      <c r="R14" s="281">
        <f>ROUND(VLOOKUP(MID($E14,4,3),'Wochentag F(WT)'!$B$7:$J$22,R$9,0),4)</f>
        <v>1.03</v>
      </c>
      <c r="S14" s="281">
        <f>ROUND(VLOOKUP(MID($E14,4,3),'Wochentag F(WT)'!$B$7:$J$22,S$9,0),4)</f>
        <v>1.03</v>
      </c>
      <c r="T14" s="281">
        <f>ROUND(VLOOKUP(MID($E14,4,3),'Wochentag F(WT)'!$B$7:$J$22,T$9,0),4)</f>
        <v>1.02</v>
      </c>
      <c r="U14" s="281">
        <f>ROUND(VLOOKUP(MID($E14,4,3),'Wochentag F(WT)'!$B$7:$J$22,U$9,0),4)</f>
        <v>1.03</v>
      </c>
      <c r="V14" s="281">
        <f>ROUND(VLOOKUP(MID($E14,4,3),'Wochentag F(WT)'!$B$7:$J$22,V$9,0),4)</f>
        <v>1.01</v>
      </c>
      <c r="W14" s="281">
        <f>ROUND(VLOOKUP(MID($E14,4,3),'Wochentag F(WT)'!$B$7:$J$22,W$9,0),4)</f>
        <v>0.93</v>
      </c>
      <c r="X14" s="282">
        <f t="shared" si="2"/>
        <v>0.95000000000000018</v>
      </c>
      <c r="Y14" s="303">
        <v>346.60842869999999</v>
      </c>
      <c r="Z14" s="212"/>
    </row>
    <row r="15" spans="2:26" s="143" customFormat="1">
      <c r="B15" s="144">
        <v>4</v>
      </c>
      <c r="C15" s="145" t="str">
        <f t="shared" si="0"/>
        <v>Netz Halle</v>
      </c>
      <c r="D15" s="62" t="s">
        <v>248</v>
      </c>
      <c r="E15" s="165" t="s">
        <v>4</v>
      </c>
      <c r="F15" s="307" t="str">
        <f>VLOOKUP($E15,'BDEW-Standard'!$B$3:$M$94,F$9,0)</f>
        <v>HK3</v>
      </c>
      <c r="H15" s="278">
        <f>ROUND(VLOOKUP($E15,'BDEW-Standard'!$B$3:$M$94,H$9,0),7)</f>
        <v>0.40409319999999999</v>
      </c>
      <c r="I15" s="278">
        <f>ROUND(VLOOKUP($E15,'BDEW-Standard'!$B$3:$M$94,I$9,0),7)</f>
        <v>-24.439296800000001</v>
      </c>
      <c r="J15" s="278">
        <f>ROUND(VLOOKUP($E15,'BDEW-Standard'!$B$3:$M$94,J$9,0),7)</f>
        <v>6.5718174999999999</v>
      </c>
      <c r="K15" s="278">
        <f>ROUND(VLOOKUP($E15,'BDEW-Standard'!$B$3:$M$94,K$9,0),7)</f>
        <v>0.71077100000000004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1.0561214000512988</v>
      </c>
      <c r="R15" s="281">
        <f>ROUND(VLOOKUP(MID($E15,4,3),'Wochentag F(WT)'!$B$7:$J$22,R$9,0),4)</f>
        <v>1</v>
      </c>
      <c r="S15" s="281">
        <f>ROUND(VLOOKUP(MID($E15,4,3),'Wochentag F(WT)'!$B$7:$J$22,S$9,0),4)</f>
        <v>1</v>
      </c>
      <c r="T15" s="281">
        <f>ROUND(VLOOKUP(MID($E15,4,3),'Wochentag F(WT)'!$B$7:$J$22,T$9,0),4)</f>
        <v>1</v>
      </c>
      <c r="U15" s="281">
        <f>ROUND(VLOOKUP(MID($E15,4,3),'Wochentag F(WT)'!$B$7:$J$22,U$9,0),4)</f>
        <v>1</v>
      </c>
      <c r="V15" s="281">
        <f>ROUND(VLOOKUP(MID($E15,4,3),'Wochentag F(WT)'!$B$7:$J$22,V$9,0),4)</f>
        <v>1</v>
      </c>
      <c r="W15" s="281">
        <f>ROUND(VLOOKUP(MID($E15,4,3),'Wochentag F(WT)'!$B$7:$J$22,W$9,0),4)</f>
        <v>1</v>
      </c>
      <c r="X15" s="282">
        <f t="shared" si="2"/>
        <v>1</v>
      </c>
      <c r="Y15" s="303">
        <v>361.43161099999998</v>
      </c>
      <c r="Z15" s="212"/>
    </row>
    <row r="16" spans="2:26" s="143" customFormat="1">
      <c r="B16" s="144">
        <v>5</v>
      </c>
      <c r="C16" s="145" t="str">
        <f t="shared" si="0"/>
        <v>Netz Halle</v>
      </c>
      <c r="D16" s="62"/>
      <c r="E16" s="165"/>
      <c r="F16" s="307"/>
      <c r="H16" s="278"/>
      <c r="I16" s="278"/>
      <c r="J16" s="278"/>
      <c r="K16" s="278"/>
      <c r="L16" s="279"/>
      <c r="M16" s="278"/>
      <c r="N16" s="278"/>
      <c r="O16" s="278"/>
      <c r="P16" s="278"/>
      <c r="Q16" s="280"/>
      <c r="R16" s="281"/>
      <c r="S16" s="281"/>
      <c r="T16" s="281"/>
      <c r="U16" s="281"/>
      <c r="V16" s="281"/>
      <c r="W16" s="281"/>
      <c r="X16" s="282"/>
      <c r="Y16" s="303"/>
      <c r="Z16" s="212"/>
    </row>
    <row r="17" spans="2:26" s="143" customFormat="1">
      <c r="B17" s="144">
        <v>6</v>
      </c>
      <c r="C17" s="145" t="str">
        <f t="shared" si="0"/>
        <v>Netz Halle</v>
      </c>
      <c r="D17" s="62"/>
      <c r="E17" s="165"/>
      <c r="F17" s="307"/>
      <c r="H17" s="278"/>
      <c r="I17" s="278"/>
      <c r="J17" s="278"/>
      <c r="K17" s="278"/>
      <c r="L17" s="279"/>
      <c r="M17" s="278"/>
      <c r="N17" s="278"/>
      <c r="O17" s="278"/>
      <c r="P17" s="278"/>
      <c r="Q17" s="280"/>
      <c r="R17" s="281"/>
      <c r="S17" s="281"/>
      <c r="T17" s="281"/>
      <c r="U17" s="281"/>
      <c r="V17" s="281"/>
      <c r="W17" s="281"/>
      <c r="X17" s="282"/>
      <c r="Y17" s="303"/>
      <c r="Z17" s="212"/>
    </row>
    <row r="18" spans="2:26" s="143" customFormat="1">
      <c r="B18" s="144">
        <v>7</v>
      </c>
      <c r="C18" s="145" t="str">
        <f t="shared" si="0"/>
        <v>Netz Halle</v>
      </c>
      <c r="D18" s="62"/>
      <c r="E18" s="165"/>
      <c r="F18" s="307"/>
      <c r="H18" s="278"/>
      <c r="I18" s="278"/>
      <c r="J18" s="278"/>
      <c r="K18" s="278"/>
      <c r="L18" s="279"/>
      <c r="M18" s="278"/>
      <c r="N18" s="278"/>
      <c r="O18" s="278"/>
      <c r="P18" s="278"/>
      <c r="Q18" s="280"/>
      <c r="R18" s="281"/>
      <c r="S18" s="281"/>
      <c r="T18" s="281"/>
      <c r="U18" s="281"/>
      <c r="V18" s="281"/>
      <c r="W18" s="281"/>
      <c r="X18" s="282"/>
      <c r="Y18" s="303"/>
      <c r="Z18" s="212"/>
    </row>
    <row r="19" spans="2:26" s="143" customFormat="1">
      <c r="B19" s="144">
        <v>8</v>
      </c>
      <c r="C19" s="145" t="str">
        <f t="shared" si="0"/>
        <v>Netz Halle</v>
      </c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 t="str">
        <f t="shared" si="0"/>
        <v>Netz Halle</v>
      </c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 t="str">
        <f t="shared" si="0"/>
        <v>Netz Halle</v>
      </c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 t="str">
        <f t="shared" si="0"/>
        <v>Netz Halle</v>
      </c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 t="str">
        <f t="shared" si="0"/>
        <v>Netz Halle</v>
      </c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 t="str">
        <f t="shared" si="0"/>
        <v>Netz Halle</v>
      </c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 t="str">
        <f t="shared" si="0"/>
        <v>Netz Halle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Netz Halle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Netz Halle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Netz Halle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Netz Halle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Netz Halle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Netz Halle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Netz Halle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Netz Halle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Netz Halle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Netz Halle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Netz Halle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Netz Halle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Netz Halle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Netz Halle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Netz Halle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Netz Halle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11 H16:Y41 H12:X15">
    <cfRule type="expression" dxfId="13" priority="12">
      <formula>ISERROR(F11)</formula>
    </cfRule>
  </conditionalFormatting>
  <conditionalFormatting sqref="E12:F41 Y16:Y41">
    <cfRule type="duplicateValues" dxfId="12" priority="34"/>
  </conditionalFormatting>
  <conditionalFormatting sqref="Y12:Y15">
    <cfRule type="expression" dxfId="2" priority="2">
      <formula>ISERROR(Y12)</formula>
    </cfRule>
  </conditionalFormatting>
  <conditionalFormatting sqref="Y12:Y15">
    <cfRule type="duplicateValues" dxfId="1" priority="3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 Y16:Y41</xm:sqref>
        </x14:conditionalFormatting>
        <x14:conditionalFormatting xmlns:xm="http://schemas.microsoft.com/office/excel/2006/main">
          <x14:cfRule type="expression" priority="1" id="{B672B139-737D-472A-BF77-EABBD9C4AAED}">
            <xm:f>IF('C:\Users\ehe083\Downloads\[SLP – verfahrensspezifische Parameter ab 01 (2).xlsx]SLP-Verfahren'!#REF!='C:\Users\ehe083\Downloads\[SLP – verfahrensspezifische Parameter ab 01 (2).xlsx]SLP-Verfahren'!#REF!,1,0)</xm:f>
            <x14:dxf>
              <fill>
                <patternFill>
                  <bgColor theme="2"/>
                </patternFill>
              </fill>
            </x14:dxf>
          </x14:cfRule>
          <xm:sqref>Y12:Y15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abSelected="1" topLeftCell="A2" zoomScale="80" zoomScaleNormal="80" workbookViewId="0">
      <selection activeCell="AD35" sqref="AD3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Energieversorgung Netz Halle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Netz Halle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>
        <f>Netzbetreiber!$D$11</f>
        <v>9870024000000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455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59" t="s">
        <v>583</v>
      </c>
      <c r="C10" s="360"/>
      <c r="D10" s="94">
        <v>2</v>
      </c>
      <c r="E10" s="95" t="str">
        <f>IF(ISERROR(HLOOKUP(E$11,$M$9:$AD$35,$D10,0)),"",HLOOKUP(E$11,$M$9:$AD$35,$D10,0))</f>
        <v/>
      </c>
      <c r="F10" s="357" t="s">
        <v>395</v>
      </c>
      <c r="G10" s="357"/>
      <c r="H10" s="357"/>
      <c r="I10" s="357"/>
      <c r="J10" s="357"/>
      <c r="K10" s="357"/>
      <c r="L10" s="358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1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1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>
        <v>1</v>
      </c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>
        <v>1</v>
      </c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0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/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>
        <v>1</v>
      </c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1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>
        <v>1</v>
      </c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1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>
        <v>1</v>
      </c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8" priority="9">
      <formula>IF(E$11="NB",1,0)</formula>
    </cfRule>
  </conditionalFormatting>
  <conditionalFormatting sqref="F12:L35">
    <cfRule type="expression" dxfId="7" priority="6">
      <formula>IF($E12=1,1,0)</formula>
    </cfRule>
  </conditionalFormatting>
  <conditionalFormatting sqref="M12:AD35">
    <cfRule type="expression" dxfId="6" priority="3">
      <formula>IF(M$11=1,1)</formula>
    </cfRule>
  </conditionalFormatting>
  <conditionalFormatting sqref="M9:AD10">
    <cfRule type="expression" dxfId="5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1" t="s">
        <v>249</v>
      </c>
      <c r="B3" s="238" t="s">
        <v>86</v>
      </c>
      <c r="C3" s="239"/>
      <c r="D3" s="363" t="s">
        <v>454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4" priority="2" stopIfTrue="1" operator="equal">
      <formula>$M7</formula>
    </cfRule>
  </conditionalFormatting>
  <conditionalFormatting sqref="D9:J9">
    <cfRule type="cellIs" dxfId="3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Jankowski, Martin</cp:lastModifiedBy>
  <cp:lastPrinted>2015-03-20T22:59:10Z</cp:lastPrinted>
  <dcterms:created xsi:type="dcterms:W3CDTF">2015-01-15T05:25:41Z</dcterms:created>
  <dcterms:modified xsi:type="dcterms:W3CDTF">2022-09-23T07:29:38Z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